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F:\中信陸上競技協会（重要）\01中信選手権\2023第47回中信選手権\"/>
    </mc:Choice>
  </mc:AlternateContent>
  <bookViews>
    <workbookView xWindow="-105" yWindow="-105" windowWidth="28995" windowHeight="15675"/>
  </bookViews>
  <sheets>
    <sheet name="エントリーについての注意と手順" sheetId="7" r:id="rId1"/>
    <sheet name="個人種目申込一覧表" sheetId="1" r:id="rId2"/>
    <sheet name="リレー申込票" sheetId="2" r:id="rId3"/>
  </sheets>
  <definedNames>
    <definedName name="_xlnm.Print_Area" localSheetId="0">エントリーについての注意と手順!$A$1:$G$82</definedName>
    <definedName name="_xlnm.Print_Area" localSheetId="2">リレー申込票!$A:$J</definedName>
    <definedName name="_xlnm.Print_Area" localSheetId="1">個人種目申込一覧表!$A:$J</definedName>
    <definedName name="リレークラス">リレー申込票!$Q$15:$T$15</definedName>
    <definedName name="一･高女子" localSheetId="1">個人種目申込一覧表!$R$13:$R$27</definedName>
    <definedName name="一･高女子">リレー申込票!$R$16:$R$17</definedName>
    <definedName name="一･高男子" localSheetId="1">個人種目申込一覧表!$Q$13:$Q$28</definedName>
    <definedName name="一･高男子">リレー申込票!$Q$16:$Q$17</definedName>
    <definedName name="性">個人種目申込一覧表!$Q$12:$T$12</definedName>
    <definedName name="中学女子" localSheetId="1">個人種目申込一覧表!$T$13:$T$22</definedName>
    <definedName name="中学女子">リレー申込票!$T$16:$T$17</definedName>
    <definedName name="中学男子" localSheetId="1">個人種目申込一覧表!$S$13:$S$21</definedName>
    <definedName name="中学男子">リレー申込票!$S$16:$S$17</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R4" i="1" l="1"/>
  <c r="Q4" i="1"/>
  <c r="N27" i="2"/>
  <c r="M27" i="2"/>
  <c r="L27" i="2"/>
  <c r="N25" i="2"/>
  <c r="M25" i="2"/>
  <c r="L25" i="2"/>
  <c r="N22" i="2"/>
  <c r="M22" i="2"/>
  <c r="L22" i="2"/>
  <c r="N20" i="2"/>
  <c r="M20" i="2"/>
  <c r="L20" i="2"/>
  <c r="N17" i="2"/>
  <c r="M17" i="2"/>
  <c r="L17" i="2"/>
  <c r="N15" i="2"/>
  <c r="M15" i="2"/>
  <c r="L15" i="2"/>
  <c r="N10" i="2"/>
  <c r="M10" i="2"/>
  <c r="L10" i="2"/>
  <c r="J113" i="1"/>
  <c r="J111" i="1"/>
  <c r="J109" i="1"/>
  <c r="J107" i="1"/>
  <c r="J105" i="1"/>
  <c r="J103" i="1"/>
  <c r="J101" i="1"/>
  <c r="J99" i="1"/>
  <c r="J97" i="1"/>
  <c r="J95" i="1"/>
  <c r="J93" i="1"/>
  <c r="J91" i="1"/>
  <c r="J89" i="1"/>
  <c r="J87" i="1"/>
  <c r="J85" i="1"/>
  <c r="J83" i="1"/>
  <c r="J81" i="1"/>
  <c r="J79" i="1"/>
  <c r="J77" i="1"/>
  <c r="J75" i="1"/>
  <c r="J73" i="1"/>
  <c r="J71" i="1"/>
  <c r="J69" i="1"/>
  <c r="J67" i="1"/>
  <c r="J65" i="1"/>
  <c r="J63" i="1"/>
  <c r="J61" i="1"/>
  <c r="J59" i="1"/>
  <c r="J57" i="1"/>
  <c r="J55" i="1"/>
  <c r="J53" i="1"/>
  <c r="J51" i="1"/>
  <c r="J49" i="1"/>
  <c r="J47" i="1"/>
  <c r="J45" i="1"/>
  <c r="J43" i="1"/>
  <c r="J41" i="1"/>
  <c r="J39" i="1"/>
  <c r="J37" i="1"/>
  <c r="J35" i="1"/>
  <c r="J33" i="1"/>
  <c r="J31" i="1"/>
  <c r="J29" i="1"/>
  <c r="J27" i="1"/>
  <c r="J25" i="1"/>
  <c r="J23" i="1"/>
  <c r="J21" i="1"/>
  <c r="J19" i="1"/>
  <c r="J17" i="1"/>
  <c r="J15" i="1"/>
  <c r="AJ45" i="2"/>
  <c r="AI45" i="2"/>
  <c r="AJ44" i="2"/>
  <c r="AI44" i="2"/>
  <c r="AJ43" i="2"/>
  <c r="AI43" i="2"/>
  <c r="AJ42" i="2"/>
  <c r="AI42" i="2"/>
  <c r="AJ41" i="2"/>
  <c r="AI41" i="2"/>
  <c r="AJ40" i="2"/>
  <c r="AI40" i="2"/>
  <c r="AJ39" i="2"/>
  <c r="AI39" i="2"/>
  <c r="AJ38" i="2"/>
  <c r="AI38" i="2"/>
  <c r="AJ37" i="2"/>
  <c r="AI37" i="2"/>
  <c r="AJ36" i="2"/>
  <c r="AI36" i="2"/>
  <c r="AJ35" i="2"/>
  <c r="AI35" i="2"/>
  <c r="AJ34" i="2"/>
  <c r="AI34" i="2"/>
  <c r="AJ33" i="2"/>
  <c r="AI33" i="2"/>
  <c r="AJ32" i="2"/>
  <c r="AI32" i="2"/>
  <c r="AJ31" i="2"/>
  <c r="AI31" i="2"/>
  <c r="AJ30" i="2"/>
  <c r="AI30" i="2"/>
  <c r="AJ29" i="2"/>
  <c r="AI29" i="2"/>
  <c r="AJ28" i="2"/>
  <c r="AI28" i="2"/>
  <c r="AJ27" i="2"/>
  <c r="AI27" i="2"/>
  <c r="AJ26" i="2"/>
  <c r="AI26" i="2"/>
  <c r="AJ25" i="2"/>
  <c r="AI25" i="2"/>
  <c r="AJ24" i="2"/>
  <c r="AI24" i="2"/>
  <c r="AJ23" i="2"/>
  <c r="AI23" i="2"/>
  <c r="AJ22" i="2"/>
  <c r="AI22" i="2"/>
  <c r="AJ21" i="2"/>
  <c r="AI21" i="2"/>
  <c r="AJ20" i="2"/>
  <c r="AI20" i="2"/>
  <c r="AJ19" i="2"/>
  <c r="AI19" i="2"/>
  <c r="AJ18" i="2"/>
  <c r="AI18" i="2"/>
  <c r="AJ17" i="2"/>
  <c r="AI17" i="2"/>
  <c r="AJ16" i="2"/>
  <c r="AI16" i="2"/>
  <c r="AJ15" i="2"/>
  <c r="AI15" i="2"/>
  <c r="AJ14" i="2"/>
  <c r="AI14" i="2"/>
  <c r="AJ13" i="2"/>
  <c r="AI13" i="2"/>
  <c r="AJ12" i="2"/>
  <c r="AI12" i="2"/>
  <c r="AJ11" i="2"/>
  <c r="AI11" i="2"/>
  <c r="AJ10" i="2"/>
  <c r="AI10" i="2"/>
  <c r="AS113" i="1"/>
  <c r="AR113" i="1"/>
  <c r="AS111" i="1"/>
  <c r="AR111" i="1"/>
  <c r="AS109" i="1"/>
  <c r="AR109" i="1"/>
  <c r="AS107" i="1"/>
  <c r="AR107" i="1"/>
  <c r="AS105" i="1"/>
  <c r="AR105" i="1"/>
  <c r="AS103" i="1"/>
  <c r="AR103" i="1"/>
  <c r="AS101" i="1"/>
  <c r="AR101" i="1"/>
  <c r="AS99" i="1"/>
  <c r="AR99" i="1"/>
  <c r="AS97" i="1"/>
  <c r="AR97" i="1"/>
  <c r="AS95" i="1"/>
  <c r="AR95" i="1"/>
  <c r="AS93" i="1"/>
  <c r="AR93" i="1"/>
  <c r="AS91" i="1"/>
  <c r="AR91" i="1"/>
  <c r="AS89" i="1"/>
  <c r="AR89" i="1"/>
  <c r="AS87" i="1"/>
  <c r="AR87" i="1"/>
  <c r="AS85" i="1"/>
  <c r="AR85" i="1"/>
  <c r="AS83" i="1"/>
  <c r="AR83" i="1"/>
  <c r="AS81" i="1"/>
  <c r="AR81" i="1"/>
  <c r="AS79" i="1"/>
  <c r="AR79" i="1"/>
  <c r="AS77" i="1"/>
  <c r="AR77" i="1"/>
  <c r="AS75" i="1"/>
  <c r="AR75" i="1"/>
  <c r="AS73" i="1"/>
  <c r="AR73" i="1"/>
  <c r="AS71" i="1"/>
  <c r="AR71" i="1"/>
  <c r="AS69" i="1"/>
  <c r="AR69" i="1"/>
  <c r="AS67" i="1"/>
  <c r="AR67" i="1"/>
  <c r="AS65" i="1"/>
  <c r="AR65" i="1"/>
  <c r="AS63" i="1"/>
  <c r="AR63" i="1"/>
  <c r="AS61" i="1"/>
  <c r="AR61" i="1"/>
  <c r="AS59" i="1"/>
  <c r="AR59" i="1"/>
  <c r="AS57" i="1"/>
  <c r="AR57" i="1"/>
  <c r="AS55" i="1"/>
  <c r="AR55" i="1"/>
  <c r="AS53" i="1"/>
  <c r="AR53" i="1"/>
  <c r="AS51" i="1"/>
  <c r="AR51" i="1"/>
  <c r="AS49" i="1"/>
  <c r="AR49" i="1"/>
  <c r="AS47" i="1"/>
  <c r="AR47" i="1"/>
  <c r="AS45" i="1"/>
  <c r="AR45" i="1"/>
  <c r="AS43" i="1"/>
  <c r="AR43" i="1"/>
  <c r="AS41" i="1"/>
  <c r="AR41" i="1"/>
  <c r="AS39" i="1"/>
  <c r="AR39" i="1"/>
  <c r="AS37" i="1"/>
  <c r="AR37" i="1"/>
  <c r="AS35" i="1"/>
  <c r="AR35" i="1"/>
  <c r="AS33" i="1"/>
  <c r="AR33" i="1"/>
  <c r="AS31" i="1"/>
  <c r="AR31" i="1"/>
  <c r="AS29" i="1"/>
  <c r="AR29" i="1"/>
  <c r="AS27" i="1"/>
  <c r="AR27" i="1"/>
  <c r="AS25" i="1"/>
  <c r="AR25" i="1"/>
  <c r="AS23" i="1"/>
  <c r="AR23" i="1"/>
  <c r="AS21" i="1"/>
  <c r="AR21" i="1"/>
  <c r="AS19" i="1"/>
  <c r="AR19" i="1"/>
  <c r="AS17" i="1"/>
  <c r="AR17" i="1"/>
  <c r="AS15" i="1"/>
  <c r="AR15" i="1"/>
  <c r="AF113" i="1"/>
  <c r="AF111" i="1"/>
  <c r="AF109" i="1"/>
  <c r="AF107" i="1"/>
  <c r="AF105" i="1"/>
  <c r="AF103" i="1"/>
  <c r="AF101" i="1"/>
  <c r="AF99" i="1"/>
  <c r="AF97" i="1"/>
  <c r="AF95" i="1"/>
  <c r="AF93" i="1"/>
  <c r="AF91" i="1"/>
  <c r="AF89" i="1"/>
  <c r="AF87" i="1"/>
  <c r="AF85" i="1"/>
  <c r="AF83" i="1"/>
  <c r="AF81" i="1"/>
  <c r="AF79" i="1"/>
  <c r="AF77" i="1"/>
  <c r="AF75" i="1"/>
  <c r="AF73" i="1"/>
  <c r="AF71" i="1"/>
  <c r="AF69" i="1"/>
  <c r="AF67" i="1"/>
  <c r="AF65" i="1"/>
  <c r="AF63" i="1"/>
  <c r="AF61" i="1"/>
  <c r="AF59" i="1"/>
  <c r="AF57" i="1"/>
  <c r="AF55" i="1"/>
  <c r="AF53" i="1"/>
  <c r="AF51" i="1"/>
  <c r="AF49" i="1"/>
  <c r="AF47" i="1"/>
  <c r="AF45" i="1"/>
  <c r="AF43" i="1"/>
  <c r="AF41" i="1"/>
  <c r="AF39" i="1"/>
  <c r="AF37" i="1"/>
  <c r="AF35" i="1"/>
  <c r="AF33" i="1"/>
  <c r="AF31" i="1"/>
  <c r="AF29" i="1"/>
  <c r="AF27" i="1"/>
  <c r="AF25" i="1"/>
  <c r="AF23" i="1"/>
  <c r="AF21" i="1"/>
  <c r="AF19" i="1"/>
  <c r="AF17" i="1"/>
  <c r="AF15" i="1"/>
  <c r="C6" i="2"/>
  <c r="O25" i="2"/>
  <c r="AH113" i="1"/>
  <c r="AG113" i="1"/>
  <c r="AH111" i="1"/>
  <c r="AG111" i="1"/>
  <c r="AH109" i="1"/>
  <c r="AG109" i="1"/>
  <c r="AH107" i="1"/>
  <c r="AG107" i="1"/>
  <c r="AH105" i="1"/>
  <c r="AG105" i="1"/>
  <c r="AH103" i="1"/>
  <c r="AG103" i="1"/>
  <c r="AH101" i="1"/>
  <c r="AG101" i="1"/>
  <c r="AH99" i="1"/>
  <c r="AG99" i="1"/>
  <c r="AH97" i="1"/>
  <c r="AG97" i="1"/>
  <c r="AH95" i="1"/>
  <c r="AG95" i="1"/>
  <c r="AH93" i="1"/>
  <c r="AG93" i="1"/>
  <c r="AH91" i="1"/>
  <c r="AG91" i="1"/>
  <c r="AH89" i="1"/>
  <c r="AG89" i="1"/>
  <c r="AH87" i="1"/>
  <c r="AG87" i="1"/>
  <c r="AH85" i="1"/>
  <c r="AG85" i="1"/>
  <c r="AH83" i="1"/>
  <c r="AG83" i="1"/>
  <c r="AH81" i="1"/>
  <c r="AG81" i="1"/>
  <c r="AH79" i="1"/>
  <c r="AG79" i="1"/>
  <c r="AH77" i="1"/>
  <c r="AG77" i="1"/>
  <c r="AH75" i="1"/>
  <c r="AG75" i="1"/>
  <c r="AH73" i="1"/>
  <c r="AG73" i="1"/>
  <c r="AH71" i="1"/>
  <c r="AG71" i="1"/>
  <c r="AH69" i="1"/>
  <c r="AG69" i="1"/>
  <c r="AH67" i="1"/>
  <c r="AG67" i="1"/>
  <c r="AH65" i="1"/>
  <c r="AG65" i="1"/>
  <c r="AH63" i="1"/>
  <c r="AG63" i="1"/>
  <c r="AH61" i="1"/>
  <c r="AG61" i="1"/>
  <c r="AH59" i="1"/>
  <c r="AG59" i="1"/>
  <c r="AH57" i="1"/>
  <c r="AG57" i="1"/>
  <c r="AH55" i="1"/>
  <c r="AG55" i="1"/>
  <c r="AH53" i="1"/>
  <c r="AG53" i="1"/>
  <c r="AH51" i="1"/>
  <c r="AG51" i="1"/>
  <c r="AH49" i="1"/>
  <c r="AG49" i="1"/>
  <c r="AH47" i="1"/>
  <c r="AG47" i="1"/>
  <c r="AH45" i="1"/>
  <c r="AG45" i="1"/>
  <c r="AH43" i="1"/>
  <c r="AG43" i="1"/>
  <c r="AH41" i="1"/>
  <c r="AG41" i="1"/>
  <c r="AH39" i="1"/>
  <c r="AG39" i="1"/>
  <c r="AH37" i="1"/>
  <c r="AG37" i="1"/>
  <c r="AH35" i="1"/>
  <c r="AG35" i="1"/>
  <c r="AH33" i="1"/>
  <c r="AG33" i="1"/>
  <c r="AH31" i="1"/>
  <c r="AG31" i="1"/>
  <c r="AH29" i="1"/>
  <c r="AG29" i="1"/>
  <c r="AH27" i="1"/>
  <c r="AG27" i="1"/>
  <c r="AH25" i="1"/>
  <c r="M29" i="1" s="1"/>
  <c r="AO29" i="1" s="1"/>
  <c r="AG25" i="1"/>
  <c r="AH23" i="1"/>
  <c r="AG23" i="1"/>
  <c r="AH21" i="1"/>
  <c r="AG21" i="1"/>
  <c r="AH19" i="1"/>
  <c r="AG19" i="1"/>
  <c r="AH17" i="1"/>
  <c r="AG17" i="1"/>
  <c r="AH15" i="1"/>
  <c r="AG15" i="1"/>
  <c r="L17" i="1" s="1"/>
  <c r="AN17" i="1" s="1"/>
  <c r="E9" i="1"/>
  <c r="AB113" i="1"/>
  <c r="Y113" i="1"/>
  <c r="Z113" i="1" s="1"/>
  <c r="AB111" i="1"/>
  <c r="AC111" i="1"/>
  <c r="Y111" i="1"/>
  <c r="Z111" i="1" s="1"/>
  <c r="AB109" i="1"/>
  <c r="AC109" i="1"/>
  <c r="Y109" i="1"/>
  <c r="Z109" i="1" s="1"/>
  <c r="AB107" i="1"/>
  <c r="AC107" i="1"/>
  <c r="Y107" i="1"/>
  <c r="Z107" i="1" s="1"/>
  <c r="AB105" i="1"/>
  <c r="AC105" i="1" s="1"/>
  <c r="Y105" i="1"/>
  <c r="Z105" i="1" s="1"/>
  <c r="AB103" i="1"/>
  <c r="AC103" i="1"/>
  <c r="Y103" i="1"/>
  <c r="Z103" i="1" s="1"/>
  <c r="AB101" i="1"/>
  <c r="AC101" i="1"/>
  <c r="Y101" i="1"/>
  <c r="Z101" i="1" s="1"/>
  <c r="AB99" i="1"/>
  <c r="AC99" i="1"/>
  <c r="Y99" i="1"/>
  <c r="Z99" i="1" s="1"/>
  <c r="AB97" i="1"/>
  <c r="AC97" i="1" s="1"/>
  <c r="Y97" i="1"/>
  <c r="Z97" i="1" s="1"/>
  <c r="AB95" i="1"/>
  <c r="AC95" i="1"/>
  <c r="Y95" i="1"/>
  <c r="Z95" i="1" s="1"/>
  <c r="AB93" i="1"/>
  <c r="AC93" i="1"/>
  <c r="Y93" i="1"/>
  <c r="Z93" i="1" s="1"/>
  <c r="AB91" i="1"/>
  <c r="AC91" i="1"/>
  <c r="Y91" i="1"/>
  <c r="Z91" i="1" s="1"/>
  <c r="AB89" i="1"/>
  <c r="AC89" i="1" s="1"/>
  <c r="Y89" i="1"/>
  <c r="Z89" i="1"/>
  <c r="AB87" i="1"/>
  <c r="AC87" i="1"/>
  <c r="Y87" i="1"/>
  <c r="Z87" i="1"/>
  <c r="AB85" i="1"/>
  <c r="AC85" i="1" s="1"/>
  <c r="Y85" i="1"/>
  <c r="Z85" i="1"/>
  <c r="AB83" i="1"/>
  <c r="AC83" i="1"/>
  <c r="Y83" i="1"/>
  <c r="Z83" i="1"/>
  <c r="AB81" i="1"/>
  <c r="AC81" i="1"/>
  <c r="Y81" i="1"/>
  <c r="Z81" i="1"/>
  <c r="AB79" i="1"/>
  <c r="AC79" i="1" s="1"/>
  <c r="Y79" i="1"/>
  <c r="Z79" i="1"/>
  <c r="AB77" i="1"/>
  <c r="AC77" i="1"/>
  <c r="Y77" i="1"/>
  <c r="Z77" i="1"/>
  <c r="AB75" i="1"/>
  <c r="AC75" i="1"/>
  <c r="Y75" i="1"/>
  <c r="Z75" i="1"/>
  <c r="AB73" i="1"/>
  <c r="AC73" i="1" s="1"/>
  <c r="Y73" i="1"/>
  <c r="Z73" i="1"/>
  <c r="AB71" i="1"/>
  <c r="AC71" i="1"/>
  <c r="Y71" i="1"/>
  <c r="Z71" i="1"/>
  <c r="AB69" i="1"/>
  <c r="AC69" i="1"/>
  <c r="Y69" i="1"/>
  <c r="Z69" i="1"/>
  <c r="AB67" i="1"/>
  <c r="Y67" i="1"/>
  <c r="Z67" i="1" s="1"/>
  <c r="AB65" i="1"/>
  <c r="AC65" i="1" s="1"/>
  <c r="Y65" i="1"/>
  <c r="Z65" i="1"/>
  <c r="AB63" i="1"/>
  <c r="AC63" i="1" s="1"/>
  <c r="Y63" i="1"/>
  <c r="Z63" i="1"/>
  <c r="AB61" i="1"/>
  <c r="AC61" i="1" s="1"/>
  <c r="Y61" i="1"/>
  <c r="Z61" i="1"/>
  <c r="AB59" i="1"/>
  <c r="AC59" i="1" s="1"/>
  <c r="Y59" i="1"/>
  <c r="Z59" i="1" s="1"/>
  <c r="AB57" i="1"/>
  <c r="AC57" i="1" s="1"/>
  <c r="Y57" i="1"/>
  <c r="Z57" i="1"/>
  <c r="AB55" i="1"/>
  <c r="AC55" i="1" s="1"/>
  <c r="Y55" i="1"/>
  <c r="Z55" i="1"/>
  <c r="AB53" i="1"/>
  <c r="AC53" i="1" s="1"/>
  <c r="Y53" i="1"/>
  <c r="Z53" i="1"/>
  <c r="AB51" i="1"/>
  <c r="AC51" i="1" s="1"/>
  <c r="Y51" i="1"/>
  <c r="Z51" i="1" s="1"/>
  <c r="AB49" i="1"/>
  <c r="AC49" i="1" s="1"/>
  <c r="Y49" i="1"/>
  <c r="Z49" i="1"/>
  <c r="AB47" i="1"/>
  <c r="AC47" i="1" s="1"/>
  <c r="Y47" i="1"/>
  <c r="Z47" i="1"/>
  <c r="AB45" i="1"/>
  <c r="AC45" i="1" s="1"/>
  <c r="Y45" i="1"/>
  <c r="Z45" i="1"/>
  <c r="AB43" i="1"/>
  <c r="AC43" i="1" s="1"/>
  <c r="Y43" i="1"/>
  <c r="Z43" i="1" s="1"/>
  <c r="AB41" i="1"/>
  <c r="AC41" i="1" s="1"/>
  <c r="Y41" i="1"/>
  <c r="Z41" i="1"/>
  <c r="AB39" i="1"/>
  <c r="AC39" i="1" s="1"/>
  <c r="Y39" i="1"/>
  <c r="Z39" i="1"/>
  <c r="AB37" i="1"/>
  <c r="AC37" i="1" s="1"/>
  <c r="Y37" i="1"/>
  <c r="Z37" i="1"/>
  <c r="AB35" i="1"/>
  <c r="AC35" i="1" s="1"/>
  <c r="Y35" i="1"/>
  <c r="Z35" i="1" s="1"/>
  <c r="AB33" i="1"/>
  <c r="AC33" i="1" s="1"/>
  <c r="Y33" i="1"/>
  <c r="Z33" i="1"/>
  <c r="AB31" i="1"/>
  <c r="AC31" i="1" s="1"/>
  <c r="Y31" i="1"/>
  <c r="Z31" i="1"/>
  <c r="AB29" i="1"/>
  <c r="AC29" i="1" s="1"/>
  <c r="Y29" i="1"/>
  <c r="Z29" i="1"/>
  <c r="AB27" i="1"/>
  <c r="AC27" i="1" s="1"/>
  <c r="Y27" i="1"/>
  <c r="Z27" i="1" s="1"/>
  <c r="AB25" i="1"/>
  <c r="Y25" i="1"/>
  <c r="Z25" i="1"/>
  <c r="AB23" i="1"/>
  <c r="AC23" i="1"/>
  <c r="Y23" i="1"/>
  <c r="Z23" i="1"/>
  <c r="AB21" i="1"/>
  <c r="AC21" i="1"/>
  <c r="Y21" i="1"/>
  <c r="Z21" i="1" s="1"/>
  <c r="AB19" i="1"/>
  <c r="AC19" i="1" s="1"/>
  <c r="Y19" i="1"/>
  <c r="Z19" i="1" s="1"/>
  <c r="AB17" i="1"/>
  <c r="Y17" i="1"/>
  <c r="AB15" i="1"/>
  <c r="AC15" i="1" s="1"/>
  <c r="AD15" i="1" s="1"/>
  <c r="Y15" i="1"/>
  <c r="Z15" i="1" s="1"/>
  <c r="AA15" i="1" s="1"/>
  <c r="B1" i="2"/>
  <c r="G6" i="2"/>
  <c r="O10" i="2"/>
  <c r="O15" i="2"/>
  <c r="O20" i="2"/>
  <c r="A16" i="1"/>
  <c r="A36" i="1"/>
  <c r="A56" i="1"/>
  <c r="A76" i="1"/>
  <c r="A96" i="1"/>
  <c r="A15" i="1"/>
  <c r="A35" i="1"/>
  <c r="A55" i="1"/>
  <c r="A75" i="1"/>
  <c r="A95" i="1"/>
  <c r="AC113" i="1"/>
  <c r="AC67" i="1"/>
  <c r="M14" i="1"/>
  <c r="AO14" i="1" s="1"/>
  <c r="L30" i="1"/>
  <c r="AN30" i="1" s="1"/>
  <c r="J4" i="1" l="1"/>
  <c r="T14" i="1"/>
  <c r="R14" i="1"/>
  <c r="S21" i="1"/>
  <c r="Q26" i="1"/>
  <c r="T21" i="1"/>
  <c r="R24" i="1"/>
  <c r="S17" i="1"/>
  <c r="Q17" i="1"/>
  <c r="AK45" i="2"/>
  <c r="AL45" i="2" s="1"/>
  <c r="AK22" i="2"/>
  <c r="AL22" i="2" s="1"/>
  <c r="AK34" i="2"/>
  <c r="AL34" i="2" s="1"/>
  <c r="AK35" i="2"/>
  <c r="AL35" i="2" s="1"/>
  <c r="AK11" i="2"/>
  <c r="AL11" i="2" s="1"/>
  <c r="AK23" i="2"/>
  <c r="AL23" i="2" s="1"/>
  <c r="AK12" i="2"/>
  <c r="AL12" i="2" s="1"/>
  <c r="AK24" i="2"/>
  <c r="AL24" i="2" s="1"/>
  <c r="AK36" i="2"/>
  <c r="AL36" i="2" s="1"/>
  <c r="AK37" i="2"/>
  <c r="AL37" i="2" s="1"/>
  <c r="AK25" i="2"/>
  <c r="AL25" i="2" s="1"/>
  <c r="AK14" i="2"/>
  <c r="AL14" i="2" s="1"/>
  <c r="AK26" i="2"/>
  <c r="AL26" i="2" s="1"/>
  <c r="AK38" i="2"/>
  <c r="AL38" i="2" s="1"/>
  <c r="AK15" i="2"/>
  <c r="AL15" i="2" s="1"/>
  <c r="AK27" i="2"/>
  <c r="AL27" i="2" s="1"/>
  <c r="AK39" i="2"/>
  <c r="AL39" i="2" s="1"/>
  <c r="AK10" i="2"/>
  <c r="AL10" i="2" s="1"/>
  <c r="AN10" i="2" s="1"/>
  <c r="L11" i="2" s="1"/>
  <c r="AK13" i="2"/>
  <c r="AL13" i="2" s="1"/>
  <c r="AK16" i="2"/>
  <c r="AL16" i="2" s="1"/>
  <c r="AK28" i="2"/>
  <c r="AL28" i="2" s="1"/>
  <c r="AK40" i="2"/>
  <c r="AL40" i="2" s="1"/>
  <c r="AK17" i="2"/>
  <c r="AL17" i="2" s="1"/>
  <c r="AK29" i="2"/>
  <c r="AL29" i="2" s="1"/>
  <c r="AK41" i="2"/>
  <c r="AL41" i="2" s="1"/>
  <c r="AK30" i="2"/>
  <c r="AL30" i="2" s="1"/>
  <c r="AK42" i="2"/>
  <c r="AL42" i="2" s="1"/>
  <c r="AK43" i="2"/>
  <c r="AL43" i="2" s="1"/>
  <c r="AK19" i="2"/>
  <c r="AL19" i="2" s="1"/>
  <c r="AK31" i="2"/>
  <c r="AL31" i="2" s="1"/>
  <c r="AK20" i="2"/>
  <c r="AL20" i="2" s="1"/>
  <c r="AK32" i="2"/>
  <c r="AL32" i="2" s="1"/>
  <c r="AK44" i="2"/>
  <c r="AL44" i="2" s="1"/>
  <c r="AK18" i="2"/>
  <c r="AL18" i="2" s="1"/>
  <c r="AK21" i="2"/>
  <c r="AL21" i="2" s="1"/>
  <c r="AK33" i="2"/>
  <c r="AL33" i="2" s="1"/>
  <c r="M21" i="1"/>
  <c r="AO21" i="1" s="1"/>
  <c r="M32" i="1"/>
  <c r="AO32" i="1" s="1"/>
  <c r="AM45" i="2"/>
  <c r="I6" i="2"/>
  <c r="H9" i="1" s="1"/>
  <c r="E6" i="2"/>
  <c r="AM18" i="2"/>
  <c r="AM43" i="2"/>
  <c r="AM11" i="2"/>
  <c r="AM23" i="2"/>
  <c r="AM35" i="2"/>
  <c r="AM16" i="2"/>
  <c r="AM36" i="2"/>
  <c r="AM12" i="2"/>
  <c r="AM24" i="2"/>
  <c r="AM32" i="2"/>
  <c r="AM19" i="2"/>
  <c r="AM31" i="2"/>
  <c r="AM20" i="2"/>
  <c r="AM40" i="2"/>
  <c r="AM15" i="2"/>
  <c r="AM27" i="2"/>
  <c r="AM39" i="2"/>
  <c r="AM28" i="2"/>
  <c r="AM44" i="2"/>
  <c r="AM13" i="2"/>
  <c r="AM17" i="2"/>
  <c r="AM21" i="2"/>
  <c r="AM25" i="2"/>
  <c r="AM29" i="2"/>
  <c r="AM33" i="2"/>
  <c r="AM37" i="2"/>
  <c r="AM41" i="2"/>
  <c r="AM14" i="2"/>
  <c r="AM26" i="2"/>
  <c r="AM34" i="2"/>
  <c r="AM38" i="2"/>
  <c r="AM42" i="2"/>
  <c r="AM22" i="2"/>
  <c r="AM30" i="2"/>
  <c r="AD21" i="1"/>
  <c r="AD22" i="1" s="1"/>
  <c r="B9" i="1"/>
  <c r="AC17" i="1"/>
  <c r="AD17" i="1" s="1"/>
  <c r="AD18" i="1" s="1"/>
  <c r="C9" i="1"/>
  <c r="G9" i="1" s="1"/>
  <c r="AA93" i="1"/>
  <c r="AA25" i="1"/>
  <c r="AA69" i="1"/>
  <c r="AA19" i="1"/>
  <c r="AA37" i="1"/>
  <c r="AD71" i="1"/>
  <c r="AD72" i="1" s="1"/>
  <c r="AA97" i="1"/>
  <c r="AA53" i="1"/>
  <c r="AA105" i="1"/>
  <c r="AD55" i="1"/>
  <c r="AD56" i="1" s="1"/>
  <c r="AD39" i="1"/>
  <c r="AD40" i="1" s="1"/>
  <c r="AA107" i="1"/>
  <c r="AA95" i="1"/>
  <c r="AA63" i="1"/>
  <c r="AA27" i="1"/>
  <c r="AA89" i="1"/>
  <c r="AA77" i="1"/>
  <c r="AA55" i="1"/>
  <c r="AD49" i="1"/>
  <c r="AD50" i="1" s="1"/>
  <c r="AA39" i="1"/>
  <c r="AA101" i="1"/>
  <c r="AD57" i="1"/>
  <c r="AD58" i="1" s="1"/>
  <c r="L22" i="1"/>
  <c r="AN22" i="1" s="1"/>
  <c r="AD16" i="1"/>
  <c r="AE15" i="1" s="1"/>
  <c r="B15" i="1" s="1"/>
  <c r="M27" i="1"/>
  <c r="AO27" i="1" s="1"/>
  <c r="R22" i="1" s="1"/>
  <c r="M13" i="1"/>
  <c r="AO13" i="1" s="1"/>
  <c r="L39" i="1"/>
  <c r="AN39" i="1" s="1"/>
  <c r="Q31" i="1" s="1"/>
  <c r="M30" i="1"/>
  <c r="AO30" i="1" s="1"/>
  <c r="M16" i="1"/>
  <c r="AO16" i="1" s="1"/>
  <c r="AD33" i="1"/>
  <c r="AD34" i="1" s="1"/>
  <c r="AD109" i="1"/>
  <c r="AD110" i="1" s="1"/>
  <c r="AA81" i="1"/>
  <c r="AD65" i="1"/>
  <c r="AD66" i="1" s="1"/>
  <c r="L37" i="1"/>
  <c r="AN37" i="1" s="1"/>
  <c r="Q30" i="1" s="1"/>
  <c r="M25" i="1"/>
  <c r="AO25" i="1" s="1"/>
  <c r="R21" i="1" s="1"/>
  <c r="AD79" i="1"/>
  <c r="AD80" i="1" s="1"/>
  <c r="L27" i="1"/>
  <c r="AN27" i="1" s="1"/>
  <c r="Q23" i="1" s="1"/>
  <c r="AD63" i="1"/>
  <c r="AD64" i="1" s="1"/>
  <c r="AE63" i="1" s="1"/>
  <c r="B63" i="1" s="1"/>
  <c r="AD19" i="1"/>
  <c r="AD20" i="1" s="1"/>
  <c r="AD23" i="1"/>
  <c r="AD24" i="1" s="1"/>
  <c r="AA45" i="1"/>
  <c r="AA87" i="1"/>
  <c r="M15" i="1"/>
  <c r="AO15" i="1" s="1"/>
  <c r="M36" i="1"/>
  <c r="AO36" i="1" s="1"/>
  <c r="R29" i="1" s="1"/>
  <c r="L28" i="1"/>
  <c r="AN28" i="1" s="1"/>
  <c r="M31" i="1"/>
  <c r="AO31" i="1" s="1"/>
  <c r="R26" i="1" s="1"/>
  <c r="M38" i="1"/>
  <c r="AO38" i="1" s="1"/>
  <c r="R30" i="1" s="1"/>
  <c r="M34" i="1"/>
  <c r="AO34" i="1" s="1"/>
  <c r="AD101" i="1"/>
  <c r="AD102" i="1" s="1"/>
  <c r="L15" i="1"/>
  <c r="AN15" i="1" s="1"/>
  <c r="L33" i="1"/>
  <c r="AN33" i="1" s="1"/>
  <c r="Q28" i="1" s="1"/>
  <c r="M17" i="1"/>
  <c r="AO17" i="1" s="1"/>
  <c r="L16" i="1"/>
  <c r="AN16" i="1" s="1"/>
  <c r="AD85" i="1"/>
  <c r="AD86" i="1" s="1"/>
  <c r="AD75" i="1"/>
  <c r="AD76" i="1" s="1"/>
  <c r="L35" i="1"/>
  <c r="AN35" i="1" s="1"/>
  <c r="Q29" i="1" s="1"/>
  <c r="AD27" i="1"/>
  <c r="AD28" i="1" s="1"/>
  <c r="AA31" i="1"/>
  <c r="M18" i="1"/>
  <c r="AO18" i="1" s="1"/>
  <c r="L19" i="1"/>
  <c r="AN19" i="1" s="1"/>
  <c r="Q18" i="1" s="1"/>
  <c r="AD107" i="1"/>
  <c r="AD108" i="1" s="1"/>
  <c r="L20" i="1"/>
  <c r="AN20" i="1" s="1"/>
  <c r="Q19" i="1" s="1"/>
  <c r="AD95" i="1"/>
  <c r="AD96" i="1" s="1"/>
  <c r="AD113" i="1"/>
  <c r="AD114" i="1" s="1"/>
  <c r="AD93" i="1"/>
  <c r="AD94" i="1" s="1"/>
  <c r="AD73" i="1"/>
  <c r="AD74" i="1" s="1"/>
  <c r="AA73" i="1"/>
  <c r="AA99" i="1"/>
  <c r="AA51" i="1"/>
  <c r="AA21" i="1"/>
  <c r="AA23" i="1"/>
  <c r="AD29" i="1"/>
  <c r="AD30" i="1" s="1"/>
  <c r="AA33" i="1"/>
  <c r="AD45" i="1"/>
  <c r="AD46" i="1" s="1"/>
  <c r="AD53" i="1"/>
  <c r="AD54" i="1" s="1"/>
  <c r="AD61" i="1"/>
  <c r="AD62" i="1" s="1"/>
  <c r="AA109" i="1"/>
  <c r="AD111" i="1"/>
  <c r="AD112" i="1" s="1"/>
  <c r="AD83" i="1"/>
  <c r="AD84" i="1" s="1"/>
  <c r="AD35" i="1"/>
  <c r="AD36" i="1" s="1"/>
  <c r="AD43" i="1"/>
  <c r="AD44" i="1" s="1"/>
  <c r="AA47" i="1"/>
  <c r="AD51" i="1"/>
  <c r="AD52" i="1" s="1"/>
  <c r="AD59" i="1"/>
  <c r="AD60" i="1" s="1"/>
  <c r="AA91" i="1"/>
  <c r="AA59" i="1"/>
  <c r="Z17" i="1"/>
  <c r="AA41" i="1"/>
  <c r="AA65" i="1"/>
  <c r="AA43" i="1"/>
  <c r="AA49" i="1"/>
  <c r="AA57" i="1"/>
  <c r="AC25" i="1"/>
  <c r="AD87" i="1"/>
  <c r="AD88" i="1" s="1"/>
  <c r="AA29" i="1"/>
  <c r="AD41" i="1"/>
  <c r="AD42" i="1" s="1"/>
  <c r="AA61" i="1"/>
  <c r="AA71" i="1"/>
  <c r="AA75" i="1"/>
  <c r="AA79" i="1"/>
  <c r="AA83" i="1"/>
  <c r="AA85" i="1"/>
  <c r="AD91" i="1"/>
  <c r="AD92" i="1" s="1"/>
  <c r="AD99" i="1"/>
  <c r="AD100" i="1" s="1"/>
  <c r="AA113" i="1"/>
  <c r="L13" i="1"/>
  <c r="AN13" i="1" s="1"/>
  <c r="L31" i="1"/>
  <c r="AN31" i="1" s="1"/>
  <c r="Q27" i="1" s="1"/>
  <c r="M28" i="1"/>
  <c r="AO28" i="1" s="1"/>
  <c r="L29" i="1"/>
  <c r="AN29" i="1" s="1"/>
  <c r="L24" i="1"/>
  <c r="AN24" i="1" s="1"/>
  <c r="Q21" i="1" s="1"/>
  <c r="L26" i="1"/>
  <c r="AN26" i="1" s="1"/>
  <c r="Q22" i="1" s="1"/>
  <c r="M23" i="1"/>
  <c r="AO23" i="1" s="1"/>
  <c r="R20" i="1" s="1"/>
  <c r="L14" i="1"/>
  <c r="AN14" i="1" s="1"/>
  <c r="AD103" i="1"/>
  <c r="AD104" i="1" s="1"/>
  <c r="AD77" i="1"/>
  <c r="AD78" i="1" s="1"/>
  <c r="AD37" i="1"/>
  <c r="AD38" i="1" s="1"/>
  <c r="AD31" i="1"/>
  <c r="AD32" i="1" s="1"/>
  <c r="AA35" i="1"/>
  <c r="AD47" i="1"/>
  <c r="AD48" i="1" s="1"/>
  <c r="AA67" i="1"/>
  <c r="AA103" i="1"/>
  <c r="AA111" i="1"/>
  <c r="AD97" i="1"/>
  <c r="AD98" i="1" s="1"/>
  <c r="AD81" i="1"/>
  <c r="AD82" i="1" s="1"/>
  <c r="AD69" i="1"/>
  <c r="AD70" i="1" s="1"/>
  <c r="AD89" i="1"/>
  <c r="AD90" i="1" s="1"/>
  <c r="AD105" i="1"/>
  <c r="AD106" i="1" s="1"/>
  <c r="AE105" i="1" s="1"/>
  <c r="B105" i="1" s="1"/>
  <c r="AD67" i="1"/>
  <c r="AD68" i="1" s="1"/>
  <c r="AE97" i="1" l="1"/>
  <c r="B97" i="1" s="1"/>
  <c r="S20" i="1"/>
  <c r="Q25" i="1"/>
  <c r="T15" i="1"/>
  <c r="R15" i="1"/>
  <c r="T16" i="1"/>
  <c r="R16" i="1"/>
  <c r="T19" i="1"/>
  <c r="R19" i="1"/>
  <c r="S14" i="1"/>
  <c r="Q14" i="1"/>
  <c r="T17" i="1"/>
  <c r="R17" i="1"/>
  <c r="T22" i="1"/>
  <c r="R25" i="1"/>
  <c r="S15" i="1"/>
  <c r="Q15" i="1"/>
  <c r="T13" i="1"/>
  <c r="R13" i="1"/>
  <c r="T20" i="1"/>
  <c r="R23" i="1"/>
  <c r="T24" i="1"/>
  <c r="R28" i="1"/>
  <c r="S18" i="1"/>
  <c r="Q20" i="1"/>
  <c r="T23" i="1"/>
  <c r="R27" i="1"/>
  <c r="T18" i="1"/>
  <c r="R18" i="1"/>
  <c r="S19" i="1"/>
  <c r="Q24" i="1"/>
  <c r="S16" i="1"/>
  <c r="Q16" i="1"/>
  <c r="Q13" i="1"/>
  <c r="S13" i="1"/>
  <c r="AE69" i="1"/>
  <c r="B69" i="1" s="1"/>
  <c r="AN31" i="2"/>
  <c r="L28" i="2" s="1"/>
  <c r="AN39" i="2"/>
  <c r="AN27" i="2"/>
  <c r="N23" i="2" s="1"/>
  <c r="AN23" i="2"/>
  <c r="M21" i="2" s="1"/>
  <c r="AN37" i="2"/>
  <c r="AN33" i="2"/>
  <c r="N28" i="2" s="1"/>
  <c r="AN25" i="2"/>
  <c r="L23" i="2" s="1"/>
  <c r="AN21" i="2"/>
  <c r="AN17" i="2"/>
  <c r="M16" i="2" s="1"/>
  <c r="AN45" i="2"/>
  <c r="AN13" i="2"/>
  <c r="L13" i="2" s="1"/>
  <c r="AN35" i="2"/>
  <c r="AN41" i="2"/>
  <c r="AN15" i="2"/>
  <c r="N13" i="2" s="1"/>
  <c r="AN11" i="2"/>
  <c r="M11" i="2" s="1"/>
  <c r="AN43" i="2"/>
  <c r="AE77" i="1"/>
  <c r="B77" i="1" s="1"/>
  <c r="I9" i="1"/>
  <c r="AE71" i="1"/>
  <c r="B71" i="1" s="1"/>
  <c r="AN29" i="2"/>
  <c r="M26" i="2" s="1"/>
  <c r="AN19" i="2"/>
  <c r="M18" i="2" s="1"/>
  <c r="AE19" i="1"/>
  <c r="B19" i="1" s="1"/>
  <c r="AN18" i="2"/>
  <c r="N16" i="2" s="1"/>
  <c r="AN24" i="2"/>
  <c r="N21" i="2" s="1"/>
  <c r="AN32" i="2"/>
  <c r="M28" i="2" s="1"/>
  <c r="AN12" i="2"/>
  <c r="N11" i="2" s="1"/>
  <c r="AE23" i="1"/>
  <c r="B23" i="1" s="1"/>
  <c r="AE87" i="1"/>
  <c r="B87" i="1" s="1"/>
  <c r="AE37" i="1"/>
  <c r="B37" i="1" s="1"/>
  <c r="AE79" i="1"/>
  <c r="B79" i="1" s="1"/>
  <c r="AN20" i="2"/>
  <c r="N18" i="2" s="1"/>
  <c r="AN14" i="2"/>
  <c r="M13" i="2" s="1"/>
  <c r="AN30" i="2"/>
  <c r="N26" i="2" s="1"/>
  <c r="AN26" i="2"/>
  <c r="M23" i="2" s="1"/>
  <c r="AN28" i="2"/>
  <c r="L26" i="2" s="1"/>
  <c r="AN44" i="2"/>
  <c r="AN40" i="2"/>
  <c r="AN16" i="2"/>
  <c r="L16" i="2" s="1"/>
  <c r="AN22" i="2"/>
  <c r="L21" i="2" s="1"/>
  <c r="AN42" i="2"/>
  <c r="AN38" i="2"/>
  <c r="AN36" i="2"/>
  <c r="AN34" i="2"/>
  <c r="AE75" i="1"/>
  <c r="B75" i="1" s="1"/>
  <c r="AE81" i="1"/>
  <c r="B81" i="1" s="1"/>
  <c r="AE53" i="1"/>
  <c r="B53" i="1" s="1"/>
  <c r="AE95" i="1"/>
  <c r="B95" i="1" s="1"/>
  <c r="AE27" i="1"/>
  <c r="B27" i="1" s="1"/>
  <c r="AE61" i="1"/>
  <c r="B61" i="1" s="1"/>
  <c r="AE31" i="1"/>
  <c r="B31" i="1" s="1"/>
  <c r="AE101" i="1"/>
  <c r="B101" i="1" s="1"/>
  <c r="AE93" i="1"/>
  <c r="B93" i="1" s="1"/>
  <c r="AE55" i="1"/>
  <c r="B55" i="1" s="1"/>
  <c r="AE39" i="1"/>
  <c r="B39" i="1" s="1"/>
  <c r="AE109" i="1"/>
  <c r="B109" i="1" s="1"/>
  <c r="AE107" i="1"/>
  <c r="B107" i="1" s="1"/>
  <c r="AE89" i="1"/>
  <c r="B89" i="1" s="1"/>
  <c r="AE35" i="1"/>
  <c r="B35" i="1" s="1"/>
  <c r="AE83" i="1"/>
  <c r="B83" i="1" s="1"/>
  <c r="AE33" i="1"/>
  <c r="B33" i="1" s="1"/>
  <c r="AE45" i="1"/>
  <c r="B45" i="1" s="1"/>
  <c r="AE103" i="1"/>
  <c r="B103" i="1" s="1"/>
  <c r="AE113" i="1"/>
  <c r="B113" i="1" s="1"/>
  <c r="AE85" i="1"/>
  <c r="B85" i="1" s="1"/>
  <c r="AE43" i="1"/>
  <c r="B43" i="1" s="1"/>
  <c r="AE73" i="1"/>
  <c r="B73" i="1" s="1"/>
  <c r="AE111" i="1"/>
  <c r="B111" i="1" s="1"/>
  <c r="AE59" i="1"/>
  <c r="B59" i="1" s="1"/>
  <c r="AE67" i="1"/>
  <c r="B67" i="1" s="1"/>
  <c r="AD25" i="1"/>
  <c r="AD26" i="1" s="1"/>
  <c r="AE25" i="1" s="1"/>
  <c r="B25" i="1" s="1"/>
  <c r="AE99" i="1"/>
  <c r="B99" i="1" s="1"/>
  <c r="AE65" i="1"/>
  <c r="B65" i="1" s="1"/>
  <c r="AE91" i="1"/>
  <c r="B91" i="1" s="1"/>
  <c r="AE29" i="1"/>
  <c r="B29" i="1" s="1"/>
  <c r="AE57" i="1"/>
  <c r="B57" i="1" s="1"/>
  <c r="AE41" i="1"/>
  <c r="B41" i="1" s="1"/>
  <c r="AE47" i="1"/>
  <c r="B47" i="1" s="1"/>
  <c r="AE21" i="1"/>
  <c r="B21" i="1" s="1"/>
  <c r="AE49" i="1"/>
  <c r="B49" i="1" s="1"/>
  <c r="AA17" i="1"/>
  <c r="AE17" i="1" s="1"/>
  <c r="B17" i="1" s="1"/>
  <c r="AE51" i="1"/>
  <c r="B51" i="1" s="1"/>
  <c r="M11" i="1" l="1"/>
  <c r="L18" i="2"/>
</calcChain>
</file>

<file path=xl/sharedStrings.xml><?xml version="1.0" encoding="utf-8"?>
<sst xmlns="http://schemas.openxmlformats.org/spreadsheetml/2006/main" count="285" uniqueCount="181">
  <si>
    <t>出場個人種目</t>
    <rPh sb="0" eb="2">
      <t>シュツジョウ</t>
    </rPh>
    <rPh sb="2" eb="4">
      <t>コジン</t>
    </rPh>
    <rPh sb="4" eb="6">
      <t>シュモク</t>
    </rPh>
    <phoneticPr fontId="2"/>
  </si>
  <si>
    <t>参考記録（公認最高記録または目標記録）</t>
    <rPh sb="0" eb="2">
      <t>サンコウ</t>
    </rPh>
    <rPh sb="2" eb="4">
      <t>キロク</t>
    </rPh>
    <rPh sb="5" eb="7">
      <t>コウニン</t>
    </rPh>
    <rPh sb="7" eb="9">
      <t>サイコウ</t>
    </rPh>
    <rPh sb="9" eb="11">
      <t>キロク</t>
    </rPh>
    <rPh sb="14" eb="16">
      <t>モクヒョウ</t>
    </rPh>
    <rPh sb="16" eb="18">
      <t>キロク</t>
    </rPh>
    <phoneticPr fontId="1"/>
  </si>
  <si>
    <t>申込人数/
種目数合計</t>
    <rPh sb="0" eb="2">
      <t>モウシコミ</t>
    </rPh>
    <rPh sb="2" eb="3">
      <t>ヒト</t>
    </rPh>
    <rPh sb="3" eb="4">
      <t>スウ</t>
    </rPh>
    <rPh sb="6" eb="8">
      <t>シュモク</t>
    </rPh>
    <rPh sb="8" eb="9">
      <t>スウ</t>
    </rPh>
    <rPh sb="9" eb="11">
      <t>ゴウケイ</t>
    </rPh>
    <phoneticPr fontId="2"/>
  </si>
  <si>
    <t>個人種目参加料</t>
    <rPh sb="0" eb="2">
      <t>コジン</t>
    </rPh>
    <rPh sb="2" eb="4">
      <t>シュモク</t>
    </rPh>
    <rPh sb="4" eb="6">
      <t>サンカ</t>
    </rPh>
    <rPh sb="6" eb="7">
      <t>リョウ</t>
    </rPh>
    <phoneticPr fontId="2"/>
  </si>
  <si>
    <t>リレー種目参加料</t>
    <rPh sb="3" eb="5">
      <t>シュモク</t>
    </rPh>
    <rPh sb="5" eb="7">
      <t>サンカ</t>
    </rPh>
    <rPh sb="7" eb="8">
      <t>リョウ</t>
    </rPh>
    <phoneticPr fontId="2"/>
  </si>
  <si>
    <t>参加料合計</t>
    <rPh sb="0" eb="2">
      <t>サンカ</t>
    </rPh>
    <rPh sb="2" eb="3">
      <t>リョウ</t>
    </rPh>
    <rPh sb="3" eb="5">
      <t>ゴウケイ</t>
    </rPh>
    <phoneticPr fontId="2"/>
  </si>
  <si>
    <t>個人種目申込一覧表／長野陸上競技協会</t>
    <rPh sb="0" eb="2">
      <t>コジン</t>
    </rPh>
    <rPh sb="2" eb="4">
      <t>シュモク</t>
    </rPh>
    <rPh sb="4" eb="6">
      <t>モウシコミ</t>
    </rPh>
    <rPh sb="6" eb="8">
      <t>イチラン</t>
    </rPh>
    <rPh sb="8" eb="9">
      <t>ヒョウ</t>
    </rPh>
    <rPh sb="10" eb="12">
      <t>ナガノ</t>
    </rPh>
    <rPh sb="12" eb="14">
      <t>リクジョウ</t>
    </rPh>
    <rPh sb="14" eb="16">
      <t>キョウギ</t>
    </rPh>
    <rPh sb="16" eb="18">
      <t>キョウカイ</t>
    </rPh>
    <phoneticPr fontId="2"/>
  </si>
  <si>
    <t>400m</t>
  </si>
  <si>
    <t>長野　陸子</t>
    <rPh sb="0" eb="2">
      <t>ナガノ</t>
    </rPh>
    <rPh sb="3" eb="4">
      <t>リク</t>
    </rPh>
    <rPh sb="4" eb="5">
      <t>コ</t>
    </rPh>
    <phoneticPr fontId="2"/>
  </si>
  <si>
    <t>ﾅｶﾞﾉ　ﾘｸｺ</t>
    <phoneticPr fontId="2"/>
  </si>
  <si>
    <t>申　込
責任者</t>
    <rPh sb="0" eb="1">
      <t>サル</t>
    </rPh>
    <rPh sb="2" eb="3">
      <t>コミ</t>
    </rPh>
    <rPh sb="4" eb="7">
      <t>セキニンシャ</t>
    </rPh>
    <phoneticPr fontId="2"/>
  </si>
  <si>
    <t>氏名</t>
    <rPh sb="0" eb="2">
      <t>シメイ</t>
    </rPh>
    <phoneticPr fontId="2"/>
  </si>
  <si>
    <t>Ｎｏ．</t>
    <phoneticPr fontId="2"/>
  </si>
  <si>
    <t>性別
/ｸﾗｽ</t>
    <rPh sb="0" eb="2">
      <t>セイベツ</t>
    </rPh>
    <phoneticPr fontId="2"/>
  </si>
  <si>
    <t>学年</t>
    <rPh sb="0" eb="2">
      <t>ガクネン</t>
    </rPh>
    <phoneticPr fontId="2"/>
  </si>
  <si>
    <t>《実施個人種目一覧》</t>
    <rPh sb="1" eb="3">
      <t>ジッシ</t>
    </rPh>
    <rPh sb="3" eb="5">
      <t>コジン</t>
    </rPh>
    <rPh sb="5" eb="7">
      <t>シュモク</t>
    </rPh>
    <rPh sb="7" eb="9">
      <t>イチラン</t>
    </rPh>
    <phoneticPr fontId="2"/>
  </si>
  <si>
    <t>記入例</t>
    <rPh sb="0" eb="2">
      <t>キニュウ</t>
    </rPh>
    <rPh sb="2" eb="3">
      <t>レイ</t>
    </rPh>
    <phoneticPr fontId="2"/>
  </si>
  <si>
    <t>参加料／種目</t>
    <rPh sb="0" eb="2">
      <t>サンカ</t>
    </rPh>
    <rPh sb="4" eb="6">
      <t>シュモク</t>
    </rPh>
    <phoneticPr fontId="2"/>
  </si>
  <si>
    <t>氏名
／下段（ｶﾅ）</t>
    <rPh sb="0" eb="2">
      <t>シメイ</t>
    </rPh>
    <rPh sb="4" eb="6">
      <t>カダン</t>
    </rPh>
    <phoneticPr fontId="1"/>
  </si>
  <si>
    <t>申込種目数</t>
    <rPh sb="0" eb="2">
      <t>モウシコミ</t>
    </rPh>
    <rPh sb="2" eb="4">
      <t>シュモク</t>
    </rPh>
    <rPh sb="4" eb="5">
      <t>スウ</t>
    </rPh>
    <phoneticPr fontId="1"/>
  </si>
  <si>
    <t>参加料合計</t>
    <rPh sb="0" eb="2">
      <t>サンカ</t>
    </rPh>
    <rPh sb="2" eb="3">
      <t>リョウ</t>
    </rPh>
    <rPh sb="3" eb="5">
      <t>ゴウケイ</t>
    </rPh>
    <phoneticPr fontId="1"/>
  </si>
  <si>
    <t>一般</t>
    <rPh sb="0" eb="2">
      <t>イッパン</t>
    </rPh>
    <phoneticPr fontId="1"/>
  </si>
  <si>
    <t>参加（のべ）人数</t>
    <rPh sb="0" eb="2">
      <t>サンカ</t>
    </rPh>
    <rPh sb="6" eb="8">
      <t>ニンズウ</t>
    </rPh>
    <phoneticPr fontId="1"/>
  </si>
  <si>
    <t>参加料</t>
    <rPh sb="0" eb="2">
      <t>サンカ</t>
    </rPh>
    <rPh sb="2" eb="3">
      <t>リョウ</t>
    </rPh>
    <phoneticPr fontId="1"/>
  </si>
  <si>
    <t>参考記録</t>
    <rPh sb="0" eb="2">
      <t>サンコウ</t>
    </rPh>
    <rPh sb="2" eb="4">
      <t>キロク</t>
    </rPh>
    <phoneticPr fontId="1"/>
  </si>
  <si>
    <t>性/クラス</t>
    <rPh sb="0" eb="1">
      <t>セイ</t>
    </rPh>
    <phoneticPr fontId="1"/>
  </si>
  <si>
    <t>種　　目</t>
    <rPh sb="0" eb="1">
      <t>シュ</t>
    </rPh>
    <rPh sb="3" eb="4">
      <t>メ</t>
    </rPh>
    <phoneticPr fontId="1"/>
  </si>
  <si>
    <t>チーム枝記号</t>
    <rPh sb="3" eb="4">
      <t>エダ</t>
    </rPh>
    <rPh sb="4" eb="6">
      <t>キゴウ</t>
    </rPh>
    <phoneticPr fontId="1"/>
  </si>
  <si>
    <t>※団体/責任者等のデータは個人種目申込一覧表のものを共有します。</t>
    <rPh sb="1" eb="3">
      <t>ダンタイ</t>
    </rPh>
    <rPh sb="4" eb="7">
      <t>セキニンシャ</t>
    </rPh>
    <rPh sb="7" eb="8">
      <t>ナド</t>
    </rPh>
    <rPh sb="13" eb="15">
      <t>コジン</t>
    </rPh>
    <rPh sb="15" eb="17">
      <t>シュモク</t>
    </rPh>
    <rPh sb="17" eb="19">
      <t>モウシコミ</t>
    </rPh>
    <rPh sb="19" eb="21">
      <t>イチラン</t>
    </rPh>
    <rPh sb="21" eb="22">
      <t>ヒョウ</t>
    </rPh>
    <rPh sb="26" eb="28">
      <t>キョウユウ</t>
    </rPh>
    <phoneticPr fontId="2"/>
  </si>
  <si>
    <t>各競技会のエントリーは、エントリーファイルの送信（受付）と参加料の納付により、完了となります。</t>
    <rPh sb="0" eb="1">
      <t>カク</t>
    </rPh>
    <rPh sb="1" eb="4">
      <t>キョウギカイ</t>
    </rPh>
    <rPh sb="22" eb="24">
      <t>ソウシン</t>
    </rPh>
    <rPh sb="25" eb="27">
      <t>ウケツケ</t>
    </rPh>
    <rPh sb="29" eb="32">
      <t>サンカリョウ</t>
    </rPh>
    <rPh sb="33" eb="35">
      <t>ノウフ</t>
    </rPh>
    <rPh sb="39" eb="41">
      <t>カンリョウ</t>
    </rPh>
    <phoneticPr fontId="1"/>
  </si>
  <si>
    <t>何らかのトラブルにより、エントリーファイルの送受信が正常に完了していない場合でも、参加料の納付が規定</t>
    <rPh sb="0" eb="1">
      <t>ナン</t>
    </rPh>
    <rPh sb="22" eb="25">
      <t>ソウジュシン</t>
    </rPh>
    <rPh sb="26" eb="28">
      <t>セイジョウ</t>
    </rPh>
    <rPh sb="29" eb="31">
      <t>カンリョウ</t>
    </rPh>
    <rPh sb="36" eb="38">
      <t>バアイ</t>
    </rPh>
    <rPh sb="41" eb="44">
      <t>サンカリョウ</t>
    </rPh>
    <rPh sb="45" eb="47">
      <t>ノウフ</t>
    </rPh>
    <rPh sb="48" eb="50">
      <t>キテイ</t>
    </rPh>
    <phoneticPr fontId="1"/>
  </si>
  <si>
    <t>通りに行われている場合には、原則としてエントリーを認め、競技会への参加を認めます。</t>
    <rPh sb="0" eb="1">
      <t>トオ</t>
    </rPh>
    <rPh sb="3" eb="4">
      <t>オコナ</t>
    </rPh>
    <rPh sb="9" eb="11">
      <t>バアイ</t>
    </rPh>
    <rPh sb="14" eb="16">
      <t>ゲンソク</t>
    </rPh>
    <rPh sb="25" eb="26">
      <t>ミト</t>
    </rPh>
    <rPh sb="28" eb="31">
      <t>キョウギカイ</t>
    </rPh>
    <rPh sb="33" eb="35">
      <t>サンカ</t>
    </rPh>
    <rPh sb="36" eb="37">
      <t>ミト</t>
    </rPh>
    <phoneticPr fontId="1"/>
  </si>
  <si>
    <t>②エントリー種別（新規／訂正送信）を選択</t>
    <rPh sb="6" eb="8">
      <t>シュベツ</t>
    </rPh>
    <rPh sb="9" eb="11">
      <t>シンキ</t>
    </rPh>
    <rPh sb="12" eb="14">
      <t>テイセイ</t>
    </rPh>
    <rPh sb="14" eb="16">
      <t>ソウシン</t>
    </rPh>
    <rPh sb="18" eb="20">
      <t>センタク</t>
    </rPh>
    <phoneticPr fontId="1"/>
  </si>
  <si>
    <t>　※訂正・追加の場合は、訂正分・追加分だけでなく、改めて全データを入力したファイルを送信してください。</t>
    <rPh sb="2" eb="4">
      <t>テイセイ</t>
    </rPh>
    <rPh sb="5" eb="7">
      <t>ツイカ</t>
    </rPh>
    <rPh sb="8" eb="10">
      <t>バアイ</t>
    </rPh>
    <rPh sb="12" eb="14">
      <t>テイセイ</t>
    </rPh>
    <rPh sb="14" eb="15">
      <t>フン</t>
    </rPh>
    <rPh sb="16" eb="18">
      <t>ツイカ</t>
    </rPh>
    <rPh sb="18" eb="19">
      <t>フン</t>
    </rPh>
    <rPh sb="25" eb="26">
      <t>アラタ</t>
    </rPh>
    <rPh sb="28" eb="29">
      <t>ゼン</t>
    </rPh>
    <rPh sb="33" eb="35">
      <t>ニュウリョク</t>
    </rPh>
    <rPh sb="42" eb="44">
      <t>ソウシン</t>
    </rPh>
    <phoneticPr fontId="1"/>
  </si>
  <si>
    <t>③申込責任者氏名／所属団体名を入力</t>
    <rPh sb="1" eb="3">
      <t>モウシコミ</t>
    </rPh>
    <rPh sb="3" eb="6">
      <t>セキニンシャ</t>
    </rPh>
    <rPh sb="6" eb="8">
      <t>シメイ</t>
    </rPh>
    <rPh sb="9" eb="11">
      <t>ショゾク</t>
    </rPh>
    <rPh sb="11" eb="13">
      <t>ダンタイ</t>
    </rPh>
    <rPh sb="13" eb="14">
      <t>ナ</t>
    </rPh>
    <rPh sb="15" eb="17">
      <t>ニュウリョク</t>
    </rPh>
    <phoneticPr fontId="1"/>
  </si>
  <si>
    <t>　※参加料納付（送金）にも必ず共通の氏名／団体名を使用してください。共通でないものを使用した場合、入金</t>
    <rPh sb="2" eb="5">
      <t>サンカリョウ</t>
    </rPh>
    <rPh sb="5" eb="7">
      <t>ノウフ</t>
    </rPh>
    <rPh sb="8" eb="10">
      <t>ソウキン</t>
    </rPh>
    <rPh sb="13" eb="14">
      <t>カナラ</t>
    </rPh>
    <rPh sb="15" eb="17">
      <t>キョウツウ</t>
    </rPh>
    <rPh sb="18" eb="20">
      <t>シメイ</t>
    </rPh>
    <rPh sb="21" eb="23">
      <t>ダンタイ</t>
    </rPh>
    <rPh sb="23" eb="24">
      <t>メイ</t>
    </rPh>
    <rPh sb="25" eb="27">
      <t>シヨウ</t>
    </rPh>
    <rPh sb="34" eb="36">
      <t>キョウツウ</t>
    </rPh>
    <rPh sb="42" eb="44">
      <t>シヨウ</t>
    </rPh>
    <rPh sb="46" eb="48">
      <t>バアイ</t>
    </rPh>
    <rPh sb="49" eb="51">
      <t>ニュウキン</t>
    </rPh>
    <phoneticPr fontId="1"/>
  </si>
  <si>
    <t>　　が確認できず、エントリー完了とみなされない場合があります。</t>
    <rPh sb="3" eb="5">
      <t>カクニン</t>
    </rPh>
    <rPh sb="14" eb="16">
      <t>カンリョウ</t>
    </rPh>
    <rPh sb="23" eb="25">
      <t>バアイ</t>
    </rPh>
    <phoneticPr fontId="1"/>
  </si>
  <si>
    <t>④メールアドレスを入力</t>
    <rPh sb="9" eb="11">
      <t>ニュウリョク</t>
    </rPh>
    <phoneticPr fontId="1"/>
  </si>
  <si>
    <t>　※フリーメール（ yahoo など）の場合、返信メールがブロックされる場合があります。ご承知ください。</t>
    <rPh sb="20" eb="22">
      <t>バアイ</t>
    </rPh>
    <rPh sb="23" eb="25">
      <t>ヘンシン</t>
    </rPh>
    <rPh sb="36" eb="38">
      <t>バアイ</t>
    </rPh>
    <rPh sb="45" eb="47">
      <t>ショウチ</t>
    </rPh>
    <phoneticPr fontId="1"/>
  </si>
  <si>
    <t>　※訂正送信の場合など、特記事項があれば記入してください。</t>
    <rPh sb="2" eb="4">
      <t>テイセイ</t>
    </rPh>
    <rPh sb="4" eb="6">
      <t>ソウシン</t>
    </rPh>
    <rPh sb="7" eb="9">
      <t>バアイ</t>
    </rPh>
    <rPh sb="12" eb="14">
      <t>トッキ</t>
    </rPh>
    <rPh sb="14" eb="16">
      <t>ジコウ</t>
    </rPh>
    <rPh sb="20" eb="22">
      <t>キニュウ</t>
    </rPh>
    <phoneticPr fontId="1"/>
  </si>
  <si>
    <t>⑥エントリーファイル添付</t>
    <rPh sb="10" eb="12">
      <t>テンプ</t>
    </rPh>
    <phoneticPr fontId="1"/>
  </si>
  <si>
    <t>　※参照ボタンを押し、各自のＰＣ上のエントリーファイルを選択したら、（通常）「開く」ボタンを押します。</t>
    <rPh sb="2" eb="4">
      <t>サンショウ</t>
    </rPh>
    <rPh sb="8" eb="9">
      <t>オ</t>
    </rPh>
    <rPh sb="11" eb="13">
      <t>カクジ</t>
    </rPh>
    <rPh sb="16" eb="17">
      <t>ウエ</t>
    </rPh>
    <rPh sb="28" eb="30">
      <t>センタク</t>
    </rPh>
    <rPh sb="35" eb="37">
      <t>ツウジョウ</t>
    </rPh>
    <rPh sb="39" eb="40">
      <t>ヒラ</t>
    </rPh>
    <rPh sb="46" eb="47">
      <t>オ</t>
    </rPh>
    <phoneticPr fontId="1"/>
  </si>
  <si>
    <t>⑦確認画面へ</t>
    <rPh sb="1" eb="3">
      <t>カクニン</t>
    </rPh>
    <rPh sb="3" eb="5">
      <t>ガメン</t>
    </rPh>
    <phoneticPr fontId="1"/>
  </si>
  <si>
    <t>⑧送信</t>
    <rPh sb="1" eb="3">
      <t>ソウシン</t>
    </rPh>
    <phoneticPr fontId="1"/>
  </si>
  <si>
    <t>上位所属/ｶﾃｺﾞﾘ</t>
    <rPh sb="0" eb="2">
      <t>ジョウイ</t>
    </rPh>
    <rPh sb="2" eb="4">
      <t>ショゾク</t>
    </rPh>
    <phoneticPr fontId="2"/>
  </si>
  <si>
    <t>住所/備考</t>
    <rPh sb="0" eb="2">
      <t>ジュウショ</t>
    </rPh>
    <rPh sb="3" eb="5">
      <t>ビコウ</t>
    </rPh>
    <phoneticPr fontId="2"/>
  </si>
  <si>
    <t>必要事項を記入したエントリーファイルは、県陸協エントリーセンターから送信してください。</t>
    <rPh sb="0" eb="2">
      <t>ヒツヨウ</t>
    </rPh>
    <rPh sb="2" eb="4">
      <t>ジコウ</t>
    </rPh>
    <rPh sb="5" eb="7">
      <t>キニュウ</t>
    </rPh>
    <rPh sb="20" eb="21">
      <t>ケン</t>
    </rPh>
    <rPh sb="21" eb="22">
      <t>リク</t>
    </rPh>
    <rPh sb="22" eb="23">
      <t>キョウ</t>
    </rPh>
    <rPh sb="34" eb="36">
      <t>ソウシン</t>
    </rPh>
    <phoneticPr fontId="1"/>
  </si>
  <si>
    <t>エントリー情報入力画面を開いて、</t>
    <rPh sb="5" eb="7">
      <t>ジョウホウ</t>
    </rPh>
    <rPh sb="7" eb="9">
      <t>ニュウリョク</t>
    </rPh>
    <rPh sb="9" eb="11">
      <t>ガメン</t>
    </rPh>
    <rPh sb="12" eb="13">
      <t>ヒラ</t>
    </rPh>
    <phoneticPr fontId="1"/>
  </si>
  <si>
    <t>①大会を選択　</t>
    <rPh sb="1" eb="3">
      <t>タイカイ</t>
    </rPh>
    <rPh sb="4" eb="6">
      <t>センタク</t>
    </rPh>
    <phoneticPr fontId="1"/>
  </si>
  <si>
    <t>　※大会ごとにファイルの送信先が異なりますので、間違いのないよう注意してください。</t>
    <rPh sb="2" eb="4">
      <t>タイカイ</t>
    </rPh>
    <rPh sb="12" eb="14">
      <t>ソウシン</t>
    </rPh>
    <rPh sb="14" eb="15">
      <t>サキ</t>
    </rPh>
    <rPh sb="16" eb="17">
      <t>コト</t>
    </rPh>
    <rPh sb="24" eb="26">
      <t>マチガ</t>
    </rPh>
    <rPh sb="32" eb="34">
      <t>チュウイ</t>
    </rPh>
    <phoneticPr fontId="1"/>
  </si>
  <si>
    <t>100m</t>
    <phoneticPr fontId="1"/>
  </si>
  <si>
    <t>×</t>
    <phoneticPr fontId="1"/>
  </si>
  <si>
    <t>400m</t>
    <phoneticPr fontId="1"/>
  </si>
  <si>
    <t>800m</t>
    <phoneticPr fontId="1"/>
  </si>
  <si>
    <t>110mH(1.067m)</t>
    <phoneticPr fontId="1"/>
  </si>
  <si>
    <t>走幅跳</t>
    <rPh sb="0" eb="1">
      <t>ハシ</t>
    </rPh>
    <rPh sb="1" eb="2">
      <t>ハバ</t>
    </rPh>
    <rPh sb="2" eb="3">
      <t>チョウ</t>
    </rPh>
    <phoneticPr fontId="1"/>
  </si>
  <si>
    <t>砲丸投(4.000kg)</t>
    <rPh sb="0" eb="3">
      <t>ホウガンナ</t>
    </rPh>
    <phoneticPr fontId="1"/>
  </si>
  <si>
    <t>高校</t>
    <rPh sb="0" eb="2">
      <t>コウコウ</t>
    </rPh>
    <phoneticPr fontId="1"/>
  </si>
  <si>
    <t>中学</t>
    <rPh sb="0" eb="2">
      <t>チュウガク</t>
    </rPh>
    <phoneticPr fontId="1"/>
  </si>
  <si>
    <t>走高跳</t>
    <rPh sb="0" eb="1">
      <t>ハシ</t>
    </rPh>
    <rPh sb="1" eb="3">
      <t>タカト</t>
    </rPh>
    <phoneticPr fontId="1"/>
  </si>
  <si>
    <t>砲丸投(7.260kg)</t>
    <rPh sb="0" eb="3">
      <t>ホウガンナ</t>
    </rPh>
    <phoneticPr fontId="1"/>
  </si>
  <si>
    <t>M</t>
    <phoneticPr fontId="1"/>
  </si>
  <si>
    <t>D</t>
    <phoneticPr fontId="1"/>
  </si>
  <si>
    <t>一般</t>
    <rPh sb="0" eb="2">
      <t>イッパン</t>
    </rPh>
    <phoneticPr fontId="1"/>
  </si>
  <si>
    <t>4×100mR</t>
    <phoneticPr fontId="1"/>
  </si>
  <si>
    <t>4×400mR</t>
    <phoneticPr fontId="1"/>
  </si>
  <si>
    <t>M</t>
    <phoneticPr fontId="1"/>
  </si>
  <si>
    <t>D</t>
    <phoneticPr fontId="1"/>
  </si>
  <si>
    <t>200m</t>
    <phoneticPr fontId="1"/>
  </si>
  <si>
    <t>1500m</t>
    <phoneticPr fontId="1"/>
  </si>
  <si>
    <t>5000m</t>
    <phoneticPr fontId="1"/>
  </si>
  <si>
    <t>100mH(0.838m)</t>
    <phoneticPr fontId="1"/>
  </si>
  <si>
    <t>人数制限表</t>
    <rPh sb="0" eb="2">
      <t>ニンズウ</t>
    </rPh>
    <rPh sb="2" eb="4">
      <t>セイゲン</t>
    </rPh>
    <rPh sb="4" eb="5">
      <t>ヒョウ</t>
    </rPh>
    <phoneticPr fontId="1"/>
  </si>
  <si>
    <t>エラーファイルは再エントリーをしていただきます。</t>
    <rPh sb="8" eb="9">
      <t>サイ</t>
    </rPh>
    <phoneticPr fontId="1"/>
  </si>
  <si>
    <t>　　間違えて他の大会を選択し送信するとエントリーファイルが届きません。</t>
    <rPh sb="2" eb="4">
      <t>マチガ</t>
    </rPh>
    <rPh sb="6" eb="7">
      <t>タ</t>
    </rPh>
    <rPh sb="8" eb="10">
      <t>タイカイ</t>
    </rPh>
    <rPh sb="11" eb="13">
      <t>センタク</t>
    </rPh>
    <rPh sb="14" eb="16">
      <t>ソウシン</t>
    </rPh>
    <rPh sb="29" eb="30">
      <t>トド</t>
    </rPh>
    <phoneticPr fontId="1"/>
  </si>
  <si>
    <t>⑨受付完了の自動返信メールを受信し、内容を確認してください。</t>
    <rPh sb="18" eb="20">
      <t>ナイヨウ</t>
    </rPh>
    <rPh sb="21" eb="23">
      <t>カクニン</t>
    </rPh>
    <phoneticPr fontId="1"/>
  </si>
  <si>
    <t>　中学は”中”、高校は”高”を必ずつけてください。</t>
    <rPh sb="1" eb="3">
      <t>チュウガク</t>
    </rPh>
    <rPh sb="5" eb="6">
      <t>チュウ</t>
    </rPh>
    <rPh sb="8" eb="10">
      <t>コウコウ</t>
    </rPh>
    <rPh sb="12" eb="13">
      <t>コウ</t>
    </rPh>
    <rPh sb="15" eb="16">
      <t>カナラ</t>
    </rPh>
    <phoneticPr fontId="1"/>
  </si>
  <si>
    <t>緊急連絡先
電話番号</t>
    <rPh sb="0" eb="2">
      <t>キンキュウ</t>
    </rPh>
    <rPh sb="2" eb="5">
      <t>レンラクサキ</t>
    </rPh>
    <rPh sb="6" eb="8">
      <t>デンワ</t>
    </rPh>
    <rPh sb="8" eb="10">
      <t>バンゴウ</t>
    </rPh>
    <phoneticPr fontId="1"/>
  </si>
  <si>
    <t>　トラック種目は1/100秒までとし、手動で12秒6の場合でも、1260と入力してください。</t>
    <rPh sb="19" eb="21">
      <t>シュドウ</t>
    </rPh>
    <rPh sb="24" eb="25">
      <t>ビョウ</t>
    </rPh>
    <rPh sb="27" eb="29">
      <t>バアイ</t>
    </rPh>
    <rPh sb="37" eb="39">
      <t>ニュウリョク</t>
    </rPh>
    <phoneticPr fontId="1"/>
  </si>
  <si>
    <t>×</t>
    <phoneticPr fontId="1"/>
  </si>
  <si>
    <t>【エントリーについての注意と手順】</t>
    <rPh sb="11" eb="13">
      <t>チュウイ</t>
    </rPh>
    <rPh sb="14" eb="16">
      <t>テジュン</t>
    </rPh>
    <phoneticPr fontId="1"/>
  </si>
  <si>
    <t>エラーはプログラムから漏れる可能性があります。</t>
    <phoneticPr fontId="1"/>
  </si>
  <si>
    <t>１．エントリーと参加料納付について</t>
    <rPh sb="8" eb="11">
      <t>サンカリョウ</t>
    </rPh>
    <rPh sb="11" eb="13">
      <t>ノウフ</t>
    </rPh>
    <phoneticPr fontId="1"/>
  </si>
  <si>
    <t>２．エントリーファイル入力の手順について</t>
    <rPh sb="11" eb="13">
      <t>ニュウリョク</t>
    </rPh>
    <rPh sb="14" eb="16">
      <t>テジュン</t>
    </rPh>
    <phoneticPr fontId="1"/>
  </si>
  <si>
    <t>必ず下記の手順に沿ってエントリーファイルの入力を行ってください。</t>
    <rPh sb="0" eb="1">
      <t>カナラ</t>
    </rPh>
    <rPh sb="2" eb="4">
      <t>カキ</t>
    </rPh>
    <rPh sb="5" eb="7">
      <t>テジュン</t>
    </rPh>
    <rPh sb="8" eb="9">
      <t>ソ</t>
    </rPh>
    <rPh sb="21" eb="23">
      <t>ニュウリョク</t>
    </rPh>
    <rPh sb="24" eb="25">
      <t>オコナ</t>
    </rPh>
    <phoneticPr fontId="1"/>
  </si>
  <si>
    <t>①黄色のセルは入力（選択）必須事項です。必ず入力してください。</t>
    <rPh sb="1" eb="3">
      <t>キイロ</t>
    </rPh>
    <rPh sb="2" eb="3">
      <t>イロ</t>
    </rPh>
    <rPh sb="7" eb="9">
      <t>ニュウリョク</t>
    </rPh>
    <rPh sb="10" eb="12">
      <t>センタク</t>
    </rPh>
    <rPh sb="13" eb="15">
      <t>ヒッス</t>
    </rPh>
    <rPh sb="15" eb="17">
      <t>ジコウ</t>
    </rPh>
    <rPh sb="20" eb="21">
      <t>カナラ</t>
    </rPh>
    <rPh sb="22" eb="24">
      <t>ニュウリョク</t>
    </rPh>
    <phoneticPr fontId="1"/>
  </si>
  <si>
    <t>②入力開始後、赤くなるセルは入力が済んでいません。</t>
    <rPh sb="1" eb="3">
      <t>ニュウリョク</t>
    </rPh>
    <rPh sb="3" eb="6">
      <t>カイシゴ</t>
    </rPh>
    <rPh sb="7" eb="8">
      <t>アカ</t>
    </rPh>
    <rPh sb="14" eb="16">
      <t>ニュウリョク</t>
    </rPh>
    <rPh sb="17" eb="18">
      <t>ス</t>
    </rPh>
    <phoneticPr fontId="1"/>
  </si>
  <si>
    <t>③入力した内容がプログラム、記録、賞状等にそのまま反映されます。</t>
    <rPh sb="1" eb="3">
      <t>ニュウリョク</t>
    </rPh>
    <rPh sb="5" eb="7">
      <t>ナイヨウ</t>
    </rPh>
    <rPh sb="14" eb="16">
      <t>キロク</t>
    </rPh>
    <rPh sb="17" eb="19">
      <t>ショウジョウ</t>
    </rPh>
    <rPh sb="19" eb="20">
      <t>トウ</t>
    </rPh>
    <rPh sb="25" eb="27">
      <t>ハンエイ</t>
    </rPh>
    <phoneticPr fontId="1"/>
  </si>
  <si>
    <t>④シート・セルの削除・挿入などはしないでください。</t>
    <rPh sb="8" eb="10">
      <t>サクジョ</t>
    </rPh>
    <rPh sb="11" eb="13">
      <t>ソウニュウ</t>
    </rPh>
    <phoneticPr fontId="1"/>
  </si>
  <si>
    <t>（１）エントリーファイル名の変更</t>
    <rPh sb="12" eb="13">
      <t>メイ</t>
    </rPh>
    <rPh sb="14" eb="16">
      <t>ヘンコウ</t>
    </rPh>
    <phoneticPr fontId="1"/>
  </si>
  <si>
    <t>（２）個人種目申込一覧表</t>
    <rPh sb="3" eb="5">
      <t>コジン</t>
    </rPh>
    <rPh sb="5" eb="7">
      <t>シュモク</t>
    </rPh>
    <rPh sb="7" eb="9">
      <t>モウシコミ</t>
    </rPh>
    <rPh sb="9" eb="11">
      <t>イチラン</t>
    </rPh>
    <rPh sb="11" eb="12">
      <t>ヒョウ</t>
    </rPh>
    <phoneticPr fontId="1"/>
  </si>
  <si>
    <t>③「申込責任者氏名・住所・緊急連絡先の電話番号」を入力して下さい。</t>
    <rPh sb="2" eb="4">
      <t>モウシコミ</t>
    </rPh>
    <rPh sb="4" eb="7">
      <t>セキニンシャ</t>
    </rPh>
    <rPh sb="7" eb="9">
      <t>シメイ</t>
    </rPh>
    <rPh sb="10" eb="12">
      <t>ジュウショ</t>
    </rPh>
    <rPh sb="13" eb="18">
      <t>キンキュウレンラクサキ</t>
    </rPh>
    <rPh sb="19" eb="21">
      <t>デンワ</t>
    </rPh>
    <rPh sb="21" eb="23">
      <t>バンゴウ</t>
    </rPh>
    <rPh sb="25" eb="27">
      <t>ニュウリョク</t>
    </rPh>
    <rPh sb="29" eb="30">
      <t>クダ</t>
    </rPh>
    <phoneticPr fontId="1"/>
  </si>
  <si>
    <t>　絶対に、他のデータからの貼付けはしないで下さい。</t>
    <rPh sb="1" eb="3">
      <t>ゼッタイ</t>
    </rPh>
    <rPh sb="5" eb="6">
      <t>タ</t>
    </rPh>
    <rPh sb="13" eb="14">
      <t>ハ</t>
    </rPh>
    <rPh sb="14" eb="15">
      <t>ツ</t>
    </rPh>
    <rPh sb="21" eb="22">
      <t>クダ</t>
    </rPh>
    <phoneticPr fontId="1"/>
  </si>
  <si>
    <t>⑥「氏名とﾌﾘｶﾞﾅ」を入力をして下さい。</t>
    <rPh sb="2" eb="4">
      <t>シメイ</t>
    </rPh>
    <rPh sb="12" eb="14">
      <t>ニュウリョク</t>
    </rPh>
    <rPh sb="17" eb="18">
      <t>クダ</t>
    </rPh>
    <phoneticPr fontId="1"/>
  </si>
  <si>
    <t>　リレーと兼ねる場合は、同じ漢字を使用しているか注意して下さい。（例：澤と沢など）</t>
    <rPh sb="5" eb="6">
      <t>カ</t>
    </rPh>
    <rPh sb="8" eb="10">
      <t>バアイ</t>
    </rPh>
    <rPh sb="12" eb="13">
      <t>オナ</t>
    </rPh>
    <rPh sb="14" eb="16">
      <t>カンジ</t>
    </rPh>
    <rPh sb="17" eb="19">
      <t>シヨウ</t>
    </rPh>
    <rPh sb="24" eb="26">
      <t>チュウイ</t>
    </rPh>
    <rPh sb="28" eb="29">
      <t>クダ</t>
    </rPh>
    <rPh sb="33" eb="34">
      <t>レイ</t>
    </rPh>
    <rPh sb="35" eb="36">
      <t>サワ</t>
    </rPh>
    <rPh sb="37" eb="38">
      <t>サワ</t>
    </rPh>
    <phoneticPr fontId="1"/>
  </si>
  <si>
    <t>　絶対に、他のデータからの貼付けはしないで下さい。種目間違いが多発しています。</t>
    <rPh sb="1" eb="3">
      <t>ゼッタイ</t>
    </rPh>
    <rPh sb="5" eb="6">
      <t>タ</t>
    </rPh>
    <rPh sb="13" eb="14">
      <t>ハ</t>
    </rPh>
    <rPh sb="14" eb="15">
      <t>ツ</t>
    </rPh>
    <rPh sb="21" eb="22">
      <t>クダ</t>
    </rPh>
    <rPh sb="25" eb="27">
      <t>シュモク</t>
    </rPh>
    <rPh sb="27" eb="29">
      <t>マチガ</t>
    </rPh>
    <rPh sb="31" eb="33">
      <t>タハツ</t>
    </rPh>
    <phoneticPr fontId="1"/>
  </si>
  <si>
    <t>⑨「参考記録」に自己記録又は目標記録を入力して下さい。</t>
    <rPh sb="2" eb="4">
      <t>サンコウ</t>
    </rPh>
    <rPh sb="4" eb="6">
      <t>キロク</t>
    </rPh>
    <rPh sb="8" eb="10">
      <t>ジコ</t>
    </rPh>
    <rPh sb="10" eb="12">
      <t>キロク</t>
    </rPh>
    <rPh sb="12" eb="13">
      <t>マタ</t>
    </rPh>
    <rPh sb="14" eb="16">
      <t>モクヒョウ</t>
    </rPh>
    <rPh sb="16" eb="18">
      <t>キロク</t>
    </rPh>
    <rPh sb="19" eb="21">
      <t>ニュウリョク</t>
    </rPh>
    <rPh sb="23" eb="24">
      <t>クダ</t>
    </rPh>
    <phoneticPr fontId="1"/>
  </si>
  <si>
    <t>　数字のみとし単位（秒、ｍ、：、.、など）は入れないで下さい。</t>
    <rPh sb="1" eb="3">
      <t>スウジ</t>
    </rPh>
    <rPh sb="10" eb="11">
      <t>ビョウ</t>
    </rPh>
    <phoneticPr fontId="1"/>
  </si>
  <si>
    <t>（例：1000ｍ　3分20秒48 → 32048、　走幅跳　3m20　→　320）</t>
    <phoneticPr fontId="1"/>
  </si>
  <si>
    <t>（３）リレー申込票</t>
    <rPh sb="6" eb="8">
      <t>モウシコミ</t>
    </rPh>
    <rPh sb="8" eb="9">
      <t>ヒョウ</t>
    </rPh>
    <phoneticPr fontId="1"/>
  </si>
  <si>
    <t>　数字のみとし単位は入れないで下さい。</t>
    <rPh sb="1" eb="3">
      <t>スウジ</t>
    </rPh>
    <phoneticPr fontId="1"/>
  </si>
  <si>
    <t>　左上から入力してください。左上が空欄の場合はエントリーから漏れます。</t>
    <phoneticPr fontId="1"/>
  </si>
  <si>
    <t>３．エントリーセンターからのエントリーファイル送信方法</t>
    <rPh sb="23" eb="25">
      <t>ソウシン</t>
    </rPh>
    <rPh sb="25" eb="27">
      <t>ホウホウ</t>
    </rPh>
    <phoneticPr fontId="1"/>
  </si>
  <si>
    <t>　</t>
    <phoneticPr fontId="1"/>
  </si>
  <si>
    <t>⑤コメント</t>
    <phoneticPr fontId="1"/>
  </si>
  <si>
    <t>男子</t>
    <rPh sb="0" eb="2">
      <t>ダンシ</t>
    </rPh>
    <phoneticPr fontId="1"/>
  </si>
  <si>
    <t>女子</t>
    <rPh sb="0" eb="2">
      <t>ジョシ</t>
    </rPh>
    <phoneticPr fontId="1"/>
  </si>
  <si>
    <t>男子</t>
    <rPh sb="0" eb="2">
      <t>ダンシ</t>
    </rPh>
    <phoneticPr fontId="1"/>
  </si>
  <si>
    <t>女子</t>
    <rPh sb="0" eb="2">
      <t>ジョシ</t>
    </rPh>
    <phoneticPr fontId="1"/>
  </si>
  <si>
    <t>男子</t>
    <phoneticPr fontId="1"/>
  </si>
  <si>
    <t>女子</t>
    <phoneticPr fontId="1"/>
  </si>
  <si>
    <t>円盤投(2.000kg)</t>
  </si>
  <si>
    <t>円盤投(1.000kg)</t>
  </si>
  <si>
    <t>円盤投(2.000kg)</t>
    <phoneticPr fontId="1"/>
  </si>
  <si>
    <t>円盤投(1.000kg)</t>
    <phoneticPr fontId="1"/>
  </si>
  <si>
    <t>　　　　　　       性別・ｸﾗｽ
　種目</t>
    <rPh sb="13" eb="14">
      <t>セイ</t>
    </rPh>
    <rPh sb="14" eb="15">
      <t>ベツ</t>
    </rPh>
    <rPh sb="21" eb="23">
      <t>シュモク</t>
    </rPh>
    <phoneticPr fontId="1"/>
  </si>
  <si>
    <t>　　　　　　     性別・ｸﾗｽ
　種目</t>
    <rPh sb="11" eb="12">
      <t>セイ</t>
    </rPh>
    <rPh sb="12" eb="13">
      <t>ベツ</t>
    </rPh>
    <rPh sb="19" eb="21">
      <t>シュモク</t>
    </rPh>
    <phoneticPr fontId="1"/>
  </si>
  <si>
    <t>三段跳</t>
    <rPh sb="0" eb="3">
      <t>サンダントビ</t>
    </rPh>
    <phoneticPr fontId="1"/>
  </si>
  <si>
    <r>
      <t>　他のデータからコピー・貼付けする場合は、</t>
    </r>
    <r>
      <rPr>
        <u/>
        <sz val="11"/>
        <color indexed="10"/>
        <rFont val="Meiryo UI"/>
        <family val="3"/>
        <charset val="128"/>
      </rPr>
      <t>「形式を選択し貼り付け」選択し、「値」</t>
    </r>
    <r>
      <rPr>
        <sz val="11"/>
        <color indexed="10"/>
        <rFont val="Meiryo UI"/>
        <family val="3"/>
        <charset val="128"/>
      </rPr>
      <t>の貼付けをして下さい。</t>
    </r>
    <rPh sb="1" eb="2">
      <t>タ</t>
    </rPh>
    <rPh sb="12" eb="13">
      <t>ハ</t>
    </rPh>
    <rPh sb="13" eb="14">
      <t>ツ</t>
    </rPh>
    <rPh sb="17" eb="19">
      <t>バアイ</t>
    </rPh>
    <rPh sb="22" eb="24">
      <t>ケイシキ</t>
    </rPh>
    <rPh sb="25" eb="27">
      <t>センタク</t>
    </rPh>
    <rPh sb="28" eb="29">
      <t>ハ</t>
    </rPh>
    <rPh sb="30" eb="31">
      <t>ツ</t>
    </rPh>
    <rPh sb="33" eb="35">
      <t>センタク</t>
    </rPh>
    <rPh sb="38" eb="39">
      <t>アタイ</t>
    </rPh>
    <rPh sb="41" eb="42">
      <t>ハ</t>
    </rPh>
    <rPh sb="42" eb="43">
      <t>ツ</t>
    </rPh>
    <rPh sb="47" eb="48">
      <t>クダ</t>
    </rPh>
    <phoneticPr fontId="1"/>
  </si>
  <si>
    <r>
      <t>　姓と名の間に</t>
    </r>
    <r>
      <rPr>
        <u/>
        <sz val="11"/>
        <color indexed="10"/>
        <rFont val="Meiryo UI"/>
        <family val="3"/>
        <charset val="128"/>
      </rPr>
      <t>空白１つ</t>
    </r>
    <r>
      <rPr>
        <sz val="11"/>
        <color indexed="10"/>
        <rFont val="Meiryo UI"/>
        <family val="3"/>
        <charset val="128"/>
      </rPr>
      <t>（全角／半角どちらでも可）として下さい。（2つ以上は入れないで下さい）</t>
    </r>
    <rPh sb="27" eb="28">
      <t>クダ</t>
    </rPh>
    <rPh sb="34" eb="36">
      <t>イジョウ</t>
    </rPh>
    <rPh sb="37" eb="38">
      <t>イ</t>
    </rPh>
    <rPh sb="42" eb="43">
      <t>クダ</t>
    </rPh>
    <phoneticPr fontId="1"/>
  </si>
  <si>
    <r>
      <t>⑩セルが</t>
    </r>
    <r>
      <rPr>
        <sz val="11"/>
        <color indexed="10"/>
        <rFont val="Meiryo UI"/>
        <family val="3"/>
        <charset val="128"/>
      </rPr>
      <t>”赤色”</t>
    </r>
    <r>
      <rPr>
        <sz val="11"/>
        <rFont val="Meiryo UI"/>
        <family val="3"/>
        <charset val="128"/>
      </rPr>
      <t>になっているところが無いか（未入力）確認してください。</t>
    </r>
    <rPh sb="5" eb="7">
      <t>アカイロ</t>
    </rPh>
    <rPh sb="18" eb="19">
      <t>ナ</t>
    </rPh>
    <rPh sb="22" eb="25">
      <t>ミニュウリョク</t>
    </rPh>
    <rPh sb="26" eb="28">
      <t>カクニン</t>
    </rPh>
    <phoneticPr fontId="1"/>
  </si>
  <si>
    <t>4×100mR</t>
  </si>
  <si>
    <t>4×400mR</t>
  </si>
  <si>
    <t>①該当する「性別/ｸﾗｽ」と「種目」の欄に入力をして下さい。</t>
    <rPh sb="1" eb="3">
      <t>ガイトウ</t>
    </rPh>
    <rPh sb="6" eb="8">
      <t>セイベツ</t>
    </rPh>
    <rPh sb="15" eb="17">
      <t>シュモク</t>
    </rPh>
    <rPh sb="19" eb="20">
      <t>ラン</t>
    </rPh>
    <rPh sb="21" eb="23">
      <t>ニュウリョク</t>
    </rPh>
    <rPh sb="26" eb="27">
      <t>クダ</t>
    </rPh>
    <phoneticPr fontId="1"/>
  </si>
  <si>
    <t>②「参考記録」にチーム記録又は目標記録を入力して下さい。</t>
    <rPh sb="2" eb="4">
      <t>サンコウ</t>
    </rPh>
    <rPh sb="4" eb="6">
      <t>キロク</t>
    </rPh>
    <rPh sb="11" eb="13">
      <t>キロク</t>
    </rPh>
    <rPh sb="13" eb="14">
      <t>マタ</t>
    </rPh>
    <rPh sb="15" eb="17">
      <t>モクヒョウ</t>
    </rPh>
    <rPh sb="17" eb="19">
      <t>キロク</t>
    </rPh>
    <rPh sb="20" eb="22">
      <t>ニュウリョク</t>
    </rPh>
    <rPh sb="24" eb="25">
      <t>クダ</t>
    </rPh>
    <phoneticPr fontId="1"/>
  </si>
  <si>
    <t>⑤「氏名とﾌﾘｶﾞﾅ」を入力をして下さい。</t>
    <rPh sb="2" eb="4">
      <t>シメイ</t>
    </rPh>
    <rPh sb="12" eb="14">
      <t>ニュウリョク</t>
    </rPh>
    <rPh sb="17" eb="18">
      <t>クダ</t>
    </rPh>
    <phoneticPr fontId="1"/>
  </si>
  <si>
    <r>
      <t>⑥セルが</t>
    </r>
    <r>
      <rPr>
        <sz val="11"/>
        <color indexed="10"/>
        <rFont val="Meiryo UI"/>
        <family val="3"/>
        <charset val="128"/>
      </rPr>
      <t>”赤色”</t>
    </r>
    <r>
      <rPr>
        <sz val="11"/>
        <rFont val="Meiryo UI"/>
        <family val="3"/>
        <charset val="128"/>
      </rPr>
      <t>になっているところが無いか（未入力）確認してください。</t>
    </r>
    <rPh sb="5" eb="7">
      <t>アカイロ</t>
    </rPh>
    <rPh sb="18" eb="19">
      <t>ナ</t>
    </rPh>
    <rPh sb="22" eb="25">
      <t>ミニュウリョク</t>
    </rPh>
    <rPh sb="26" eb="28">
      <t>カクニン</t>
    </rPh>
    <phoneticPr fontId="1"/>
  </si>
  <si>
    <t>　（同サイトの「エントリー状況確認」のページでも確認が出来ます）</t>
    <rPh sb="2" eb="3">
      <t>ドウ</t>
    </rPh>
    <rPh sb="24" eb="26">
      <t>カクニン</t>
    </rPh>
    <rPh sb="27" eb="29">
      <t>デキ</t>
    </rPh>
    <phoneticPr fontId="21"/>
  </si>
  <si>
    <t>中学</t>
    <phoneticPr fontId="1"/>
  </si>
  <si>
    <t>中学</t>
    <phoneticPr fontId="1"/>
  </si>
  <si>
    <t>10000m</t>
    <phoneticPr fontId="1"/>
  </si>
  <si>
    <t>10000m</t>
    <phoneticPr fontId="1"/>
  </si>
  <si>
    <t>400mH(0.914m)</t>
  </si>
  <si>
    <t>400mH(0.762m)</t>
  </si>
  <si>
    <t>5000mW</t>
  </si>
  <si>
    <t>棒高跳</t>
  </si>
  <si>
    <t>400mH(0.914m)</t>
    <phoneticPr fontId="1"/>
  </si>
  <si>
    <t>400mH(0.762m)</t>
    <phoneticPr fontId="1"/>
  </si>
  <si>
    <t>ハンマー投(4.000kg)</t>
  </si>
  <si>
    <t>ハンマー投(4.000kg)</t>
    <phoneticPr fontId="1"/>
  </si>
  <si>
    <t>ハンマー投(7.260kg)</t>
  </si>
  <si>
    <t>ハンマー投(7.260kg)</t>
    <phoneticPr fontId="1"/>
  </si>
  <si>
    <t>（4）追加・訂正</t>
    <rPh sb="3" eb="5">
      <t>ツイカ</t>
    </rPh>
    <rPh sb="6" eb="8">
      <t>テイセイ</t>
    </rPh>
    <phoneticPr fontId="1"/>
  </si>
  <si>
    <t>訂正・追加の場合は、訂正分・追加分だけでなく、改めて全データを入力したファイルを作成してください。</t>
    <rPh sb="0" eb="2">
      <t>テイセイ</t>
    </rPh>
    <rPh sb="3" eb="5">
      <t>ツイカ</t>
    </rPh>
    <rPh sb="6" eb="8">
      <t>バアイ</t>
    </rPh>
    <rPh sb="10" eb="12">
      <t>テイセイ</t>
    </rPh>
    <rPh sb="12" eb="13">
      <t>フン</t>
    </rPh>
    <rPh sb="14" eb="16">
      <t>ツイカ</t>
    </rPh>
    <rPh sb="16" eb="17">
      <t>フン</t>
    </rPh>
    <rPh sb="23" eb="24">
      <t>アラタ</t>
    </rPh>
    <rPh sb="26" eb="27">
      <t>ゼン</t>
    </rPh>
    <rPh sb="31" eb="33">
      <t>ニュウリョク</t>
    </rPh>
    <rPh sb="40" eb="42">
      <t>サクセイ</t>
    </rPh>
    <phoneticPr fontId="1"/>
  </si>
  <si>
    <t>3000m</t>
    <phoneticPr fontId="1"/>
  </si>
  <si>
    <t>3000m</t>
    <phoneticPr fontId="1"/>
  </si>
  <si>
    <r>
      <t xml:space="preserve">所属名称ﾌﾘｶﾞﾅ
</t>
    </r>
    <r>
      <rPr>
        <sz val="10"/>
        <color indexed="8"/>
        <rFont val="Meiryo UI"/>
        <family val="3"/>
        <charset val="128"/>
      </rPr>
      <t>（</t>
    </r>
    <r>
      <rPr>
        <sz val="10"/>
        <color indexed="10"/>
        <rFont val="Meiryo UI"/>
        <family val="3"/>
        <charset val="128"/>
      </rPr>
      <t>半角ｶﾅ</t>
    </r>
    <r>
      <rPr>
        <sz val="10"/>
        <rFont val="Meiryo UI"/>
        <family val="3"/>
        <charset val="128"/>
      </rPr>
      <t>で</t>
    </r>
    <r>
      <rPr>
        <sz val="10"/>
        <color indexed="8"/>
        <rFont val="Meiryo UI"/>
        <family val="3"/>
        <charset val="128"/>
      </rPr>
      <t>入力して下さい）</t>
    </r>
    <rPh sb="0" eb="2">
      <t>ショゾク</t>
    </rPh>
    <rPh sb="2" eb="4">
      <t>メイショウ</t>
    </rPh>
    <rPh sb="11" eb="13">
      <t>ハンカク</t>
    </rPh>
    <rPh sb="16" eb="18">
      <t>ニュウリョク</t>
    </rPh>
    <rPh sb="20" eb="21">
      <t>クダ</t>
    </rPh>
    <phoneticPr fontId="1"/>
  </si>
  <si>
    <t>リレー申込票／長野陸上競技協会　</t>
    <rPh sb="7" eb="9">
      <t>ナガノ</t>
    </rPh>
    <rPh sb="9" eb="11">
      <t>リクジョウ</t>
    </rPh>
    <rPh sb="11" eb="13">
      <t>キョウギ</t>
    </rPh>
    <rPh sb="13" eb="15">
      <t>キョウカイ</t>
    </rPh>
    <phoneticPr fontId="2"/>
  </si>
  <si>
    <t>3000mSC(0.914m)</t>
    <phoneticPr fontId="1"/>
  </si>
  <si>
    <t>2000mSC(0.762m)</t>
    <phoneticPr fontId="1"/>
  </si>
  <si>
    <t>やり投(600g)</t>
    <rPh sb="2" eb="3">
      <t>ナ</t>
    </rPh>
    <phoneticPr fontId="1"/>
  </si>
  <si>
    <t>やり投(800g)</t>
    <rPh sb="2" eb="3">
      <t>ナ</t>
    </rPh>
    <phoneticPr fontId="1"/>
  </si>
  <si>
    <t>②「所属団体名・所属団体名略称・ 所属団体名略称ﾌﾘｶﾞﾅ」を入力して下さい。</t>
    <rPh sb="2" eb="4">
      <t>ショゾク</t>
    </rPh>
    <rPh sb="4" eb="6">
      <t>ダンタイ</t>
    </rPh>
    <rPh sb="6" eb="7">
      <t>メイ</t>
    </rPh>
    <phoneticPr fontId="1"/>
  </si>
  <si>
    <t>所属団体名
※日本陸連登録団体名･学校名</t>
    <rPh sb="0" eb="2">
      <t>ショゾク</t>
    </rPh>
    <rPh sb="7" eb="9">
      <t>ニホン</t>
    </rPh>
    <rPh sb="9" eb="11">
      <t>リクレン</t>
    </rPh>
    <phoneticPr fontId="1"/>
  </si>
  <si>
    <t>参加人数</t>
    <rPh sb="0" eb="4">
      <t>サンカニンズウ</t>
    </rPh>
    <phoneticPr fontId="1"/>
  </si>
  <si>
    <t>アスリート
ビブス</t>
    <phoneticPr fontId="2"/>
  </si>
  <si>
    <t>⑤「アスリートビブス」を入力して下さい。（入力不要の場合は必要ありません）</t>
    <rPh sb="12" eb="14">
      <t>ニュウリョク</t>
    </rPh>
    <rPh sb="16" eb="17">
      <t>クダ</t>
    </rPh>
    <rPh sb="21" eb="23">
      <t>ニュウリョク</t>
    </rPh>
    <rPh sb="23" eb="25">
      <t>フヨウ</t>
    </rPh>
    <rPh sb="26" eb="28">
      <t>バアイ</t>
    </rPh>
    <rPh sb="29" eb="31">
      <t>ヒツヨウ</t>
    </rPh>
    <phoneticPr fontId="1"/>
  </si>
  <si>
    <t>　アスリートビブスの重複がないか確認してください。</t>
    <rPh sb="10" eb="12">
      <t>ジュウフク</t>
    </rPh>
    <rPh sb="16" eb="18">
      <t>カクニン</t>
    </rPh>
    <phoneticPr fontId="1"/>
  </si>
  <si>
    <t>　（重複がある場合は右側に警告が出ます　アスリートビブスや氏名が違ってないか確認下さい）</t>
    <rPh sb="2" eb="4">
      <t>ジュウフク</t>
    </rPh>
    <rPh sb="10" eb="12">
      <t>ミギガワ</t>
    </rPh>
    <rPh sb="29" eb="31">
      <t>シメイ</t>
    </rPh>
    <rPh sb="32" eb="33">
      <t>チガ</t>
    </rPh>
    <rPh sb="38" eb="40">
      <t>カクニン</t>
    </rPh>
    <rPh sb="40" eb="41">
      <t>クダ</t>
    </rPh>
    <phoneticPr fontId="1"/>
  </si>
  <si>
    <t>③「アスリートビブス」を入力して下さい。（入力不要の場合は必要ありません）</t>
    <rPh sb="12" eb="14">
      <t>ニュウリョク</t>
    </rPh>
    <rPh sb="16" eb="17">
      <t>クダ</t>
    </rPh>
    <rPh sb="21" eb="23">
      <t>ニュウリョク</t>
    </rPh>
    <rPh sb="23" eb="25">
      <t>フヨウ</t>
    </rPh>
    <rPh sb="26" eb="28">
      <t>バアイ</t>
    </rPh>
    <rPh sb="29" eb="31">
      <t>ヒツヨウ</t>
    </rPh>
    <phoneticPr fontId="1"/>
  </si>
  <si>
    <t>ｱｽﾞﾘｰﾄ
ﾋﾞﾌﾞｽ
/学年</t>
    <rPh sb="14" eb="16">
      <t>ガクネン</t>
    </rPh>
    <phoneticPr fontId="1"/>
  </si>
  <si>
    <t>ｱｽﾘｰﾄ
ﾋﾞﾌﾞｽ
/学年</t>
    <rPh sb="13" eb="15">
      <t>ガクネン</t>
    </rPh>
    <phoneticPr fontId="1"/>
  </si>
  <si>
    <t>【大会別特記事項】
・参加料は、個人種目申込一覧表の上位所属/
　ｶﾃｺﾞﾘ欄に対応しています。
・該当する性/クラスと種目の欄に入力して下さい。
・各種目１校（１ｸﾗﾌﾞ）１チームのみ参加可です。
・参考記録を必ず入力してください。4×100mR も
　分表示です。（例： 62秒35 ×　→　10235）</t>
    <rPh sb="1" eb="3">
      <t>タイカイ</t>
    </rPh>
    <rPh sb="3" eb="4">
      <t>ベツ</t>
    </rPh>
    <rPh sb="4" eb="6">
      <t>トッキ</t>
    </rPh>
    <rPh sb="6" eb="8">
      <t>ジコウ</t>
    </rPh>
    <rPh sb="11" eb="14">
      <t>サンカリョウ</t>
    </rPh>
    <rPh sb="16" eb="18">
      <t>コジン</t>
    </rPh>
    <rPh sb="18" eb="20">
      <t>シュモク</t>
    </rPh>
    <rPh sb="20" eb="22">
      <t>モウシコ</t>
    </rPh>
    <rPh sb="22" eb="24">
      <t>イチラン</t>
    </rPh>
    <rPh sb="24" eb="25">
      <t>ヒョウ</t>
    </rPh>
    <rPh sb="26" eb="28">
      <t>ジョウイ</t>
    </rPh>
    <rPh sb="28" eb="30">
      <t>ショゾク</t>
    </rPh>
    <rPh sb="38" eb="39">
      <t>ラン</t>
    </rPh>
    <rPh sb="40" eb="42">
      <t>タイオウ</t>
    </rPh>
    <rPh sb="50" eb="52">
      <t>ガイトウ</t>
    </rPh>
    <rPh sb="54" eb="55">
      <t>セイ</t>
    </rPh>
    <rPh sb="60" eb="62">
      <t>シュモク</t>
    </rPh>
    <rPh sb="63" eb="64">
      <t>ラン</t>
    </rPh>
    <rPh sb="65" eb="67">
      <t>ニュウリョク</t>
    </rPh>
    <rPh sb="69" eb="70">
      <t>クダ</t>
    </rPh>
    <rPh sb="75" eb="76">
      <t>カク</t>
    </rPh>
    <rPh sb="76" eb="78">
      <t>シュモク</t>
    </rPh>
    <rPh sb="79" eb="80">
      <t>（</t>
    </rPh>
    <rPh sb="93" eb="95">
      <t>サンカ</t>
    </rPh>
    <phoneticPr fontId="1"/>
  </si>
  <si>
    <r>
      <t xml:space="preserve">所属名称
</t>
    </r>
    <r>
      <rPr>
        <sz val="9"/>
        <color rgb="FFDD0806"/>
        <rFont val="Meiryo UI"/>
        <family val="3"/>
        <charset val="128"/>
      </rPr>
      <t>"中" "高""大""まで入れて下さい</t>
    </r>
    <rPh sb="0" eb="2">
      <t>ショゾク</t>
    </rPh>
    <rPh sb="2" eb="4">
      <t>メイショウ</t>
    </rPh>
    <rPh sb="6" eb="7">
      <t>チュウ</t>
    </rPh>
    <rPh sb="10" eb="11">
      <t>コウ</t>
    </rPh>
    <rPh sb="13" eb="14">
      <t>ダイ</t>
    </rPh>
    <rPh sb="18" eb="19">
      <t>イ</t>
    </rPh>
    <rPh sb="21" eb="22">
      <t>クダ</t>
    </rPh>
    <phoneticPr fontId="1"/>
  </si>
  <si>
    <t>協力役員にご協力いただける方は
氏名とを入力下さい⇒</t>
    <rPh sb="0" eb="2">
      <t>キョウリョク</t>
    </rPh>
    <rPh sb="2" eb="4">
      <t>ヤクイン</t>
    </rPh>
    <rPh sb="6" eb="8">
      <t>キョウリョク</t>
    </rPh>
    <rPh sb="13" eb="14">
      <t>カタ</t>
    </rPh>
    <rPh sb="16" eb="18">
      <t>シメイ</t>
    </rPh>
    <rPh sb="20" eb="22">
      <t>ニュウリョク</t>
    </rPh>
    <rPh sb="22" eb="23">
      <t>クダ</t>
    </rPh>
    <phoneticPr fontId="1"/>
  </si>
  <si>
    <t>所属名を入れて下さい。</t>
    <rPh sb="4" eb="5">
      <t>イ</t>
    </rPh>
    <rPh sb="7" eb="8">
      <t>クダ</t>
    </rPh>
    <phoneticPr fontId="1"/>
  </si>
  <si>
    <t>ﾌﾘｶﾞﾅ(半角ｶﾅ)</t>
    <rPh sb="6" eb="8">
      <t>ハンカク</t>
    </rPh>
    <phoneticPr fontId="2"/>
  </si>
  <si>
    <t>①「上位所属/ｶﾃｺﾞﾘ」をドロップダウンから選択（一般・高校・中学）して下さい。</t>
    <rPh sb="2" eb="4">
      <t>ジョウイ</t>
    </rPh>
    <rPh sb="4" eb="6">
      <t>ショゾク</t>
    </rPh>
    <rPh sb="23" eb="25">
      <t>センタク</t>
    </rPh>
    <rPh sb="26" eb="28">
      <t>イッパン</t>
    </rPh>
    <rPh sb="29" eb="31">
      <t>コウコウ</t>
    </rPh>
    <rPh sb="32" eb="34">
      <t>チュウガク</t>
    </rPh>
    <rPh sb="37" eb="38">
      <t>クダ</t>
    </rPh>
    <phoneticPr fontId="1"/>
  </si>
  <si>
    <t>④「性別/ｸﾗｽ」をドロップダウンから選択して下さい。</t>
    <rPh sb="2" eb="4">
      <t>セイベツ</t>
    </rPh>
    <rPh sb="19" eb="21">
      <t>センタク</t>
    </rPh>
    <rPh sb="23" eb="24">
      <t>クダ</t>
    </rPh>
    <phoneticPr fontId="1"/>
  </si>
  <si>
    <t>⑦学生の方は「学年」をドロップダウンから選択して下さい。</t>
    <rPh sb="1" eb="3">
      <t>ガクセイ</t>
    </rPh>
    <rPh sb="4" eb="5">
      <t>カタ</t>
    </rPh>
    <rPh sb="7" eb="9">
      <t>ガクネン</t>
    </rPh>
    <rPh sb="20" eb="22">
      <t>センタク</t>
    </rPh>
    <rPh sb="24" eb="25">
      <t>クダ</t>
    </rPh>
    <phoneticPr fontId="1"/>
  </si>
  <si>
    <t>⑧「種目」をドロップダウンから選択して下さい。</t>
    <rPh sb="2" eb="4">
      <t>シュモク</t>
    </rPh>
    <rPh sb="15" eb="17">
      <t>センタク</t>
    </rPh>
    <rPh sb="19" eb="20">
      <t>クダ</t>
    </rPh>
    <phoneticPr fontId="1"/>
  </si>
  <si>
    <t>④学生の方は「学年」をドロップダウンから選択して下さい。</t>
    <rPh sb="1" eb="3">
      <t>ガクセイ</t>
    </rPh>
    <rPh sb="4" eb="5">
      <t>カタ</t>
    </rPh>
    <rPh sb="7" eb="9">
      <t>ガクネン</t>
    </rPh>
    <rPh sb="20" eb="22">
      <t>センタク</t>
    </rPh>
    <rPh sb="24" eb="25">
      <t>クダ</t>
    </rPh>
    <phoneticPr fontId="1"/>
  </si>
  <si>
    <t>リレーチェック</t>
    <phoneticPr fontId="1"/>
  </si>
  <si>
    <t>ドロップダウンメニュー</t>
    <phoneticPr fontId="1"/>
  </si>
  <si>
    <t/>
  </si>
  <si>
    <t>⑪参加制限を満たした場合はその種目は選択できません。</t>
    <rPh sb="1" eb="3">
      <t>サンカ</t>
    </rPh>
    <rPh sb="3" eb="5">
      <t>セイゲン</t>
    </rPh>
    <rPh sb="6" eb="7">
      <t>ミ</t>
    </rPh>
    <rPh sb="10" eb="12">
      <t>バアイ</t>
    </rPh>
    <rPh sb="15" eb="17">
      <t>シュモク</t>
    </rPh>
    <rPh sb="18" eb="20">
      <t>センタク</t>
    </rPh>
    <phoneticPr fontId="1"/>
  </si>
  <si>
    <t>【大会別特記事項】
・エントリーについての注意事項と手順を読んでから入力して下さい。
・参加制限を満たした場合はその種目は選択できません。</t>
    <rPh sb="1" eb="3">
      <t>タイカイ</t>
    </rPh>
    <rPh sb="3" eb="4">
      <t>ベツ</t>
    </rPh>
    <rPh sb="4" eb="6">
      <t>トッキ</t>
    </rPh>
    <rPh sb="6" eb="8">
      <t>ジコウ</t>
    </rPh>
    <rPh sb="21" eb="23">
      <t>チュウイ</t>
    </rPh>
    <rPh sb="23" eb="25">
      <t>ジコウ</t>
    </rPh>
    <rPh sb="26" eb="28">
      <t>テジュン</t>
    </rPh>
    <rPh sb="29" eb="30">
      <t>ヨ</t>
    </rPh>
    <rPh sb="34" eb="36">
      <t>ニュウリョク</t>
    </rPh>
    <rPh sb="38" eb="39">
      <t>クダ</t>
    </rPh>
    <phoneticPr fontId="1"/>
  </si>
  <si>
    <t>ファイル名は23ChushinCS_○○○にして下さい。（下記参照）</t>
    <rPh sb="4" eb="5">
      <t>メイ</t>
    </rPh>
    <rPh sb="24" eb="25">
      <t>クダ</t>
    </rPh>
    <rPh sb="29" eb="31">
      <t>カキ</t>
    </rPh>
    <rPh sb="31" eb="33">
      <t>サンショウ</t>
    </rPh>
    <phoneticPr fontId="1"/>
  </si>
  <si>
    <t>ダウンロード時のファイル名は「23ChushinCS_entryfile」となっているので、「entryfile」の部分を消去して、</t>
    <rPh sb="6" eb="7">
      <t>ジ</t>
    </rPh>
    <rPh sb="58" eb="60">
      <t>ブブン</t>
    </rPh>
    <rPh sb="61" eb="63">
      <t>ショウキョ</t>
    </rPh>
    <phoneticPr fontId="1"/>
  </si>
  <si>
    <t>（例：県立中信高校の場合、23ChushinCS_entryfile を 23ChushinCS_中信高 に変更　”高”まで記入してください）</t>
    <rPh sb="3" eb="5">
      <t>ケンリツ</t>
    </rPh>
    <rPh sb="5" eb="9">
      <t>チュウシンコウコウ</t>
    </rPh>
    <rPh sb="10" eb="12">
      <t>バアイ</t>
    </rPh>
    <phoneticPr fontId="21"/>
  </si>
  <si>
    <t>第47回中信地区陸上競技選手権大会</t>
    <rPh sb="0" eb="1">
      <t>ダイ</t>
    </rPh>
    <rPh sb="3" eb="4">
      <t>カイ</t>
    </rPh>
    <rPh sb="4" eb="5">
      <t>ナカ</t>
    </rPh>
    <rPh sb="5" eb="6">
      <t>シン</t>
    </rPh>
    <rPh sb="6" eb="8">
      <t>チク</t>
    </rPh>
    <rPh sb="8" eb="10">
      <t>リクジョウ</t>
    </rPh>
    <rPh sb="10" eb="12">
      <t>キョウギ</t>
    </rPh>
    <rPh sb="12" eb="15">
      <t>センシュケン</t>
    </rPh>
    <rPh sb="15" eb="17">
      <t>タイカイ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</si>
</sst>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76" formatCode="&quot;¥&quot;#,##0;[Red]&quot;¥&quot;#,##0"/>
    <numFmt numFmtId="177" formatCode="0_ "/>
    <numFmt numFmtId="178" formatCode="#,##0;[Red]#,##0"/>
  </numFmts>
  <fonts count="44"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9"/>
      <name val="Meiryo UI"/>
      <family val="3"/>
      <charset val="128"/>
    </font>
    <font>
      <b/>
      <sz val="12"/>
      <color indexed="8"/>
      <name val="Meiryo UI"/>
      <family val="3"/>
      <charset val="128"/>
    </font>
    <font>
      <sz val="11"/>
      <color indexed="10"/>
      <name val="Meiryo UI"/>
      <family val="3"/>
      <charset val="128"/>
    </font>
    <font>
      <sz val="10"/>
      <color indexed="8"/>
      <name val="Meiryo UI"/>
      <family val="3"/>
      <charset val="128"/>
    </font>
    <font>
      <b/>
      <sz val="14"/>
      <color indexed="9"/>
      <name val="Meiryo UI"/>
      <family val="3"/>
      <charset val="128"/>
    </font>
    <font>
      <sz val="11"/>
      <color indexed="9"/>
      <name val="Meiryo UI"/>
      <family val="3"/>
      <charset val="128"/>
    </font>
    <font>
      <sz val="14"/>
      <color indexed="8"/>
      <name val="Meiryo UI"/>
      <family val="3"/>
      <charset val="128"/>
    </font>
    <font>
      <b/>
      <sz val="14"/>
      <color indexed="8"/>
      <name val="Meiryo UI"/>
      <family val="3"/>
      <charset val="128"/>
    </font>
    <font>
      <sz val="9"/>
      <color indexed="9"/>
      <name val="Meiryo UI"/>
      <family val="3"/>
      <charset val="128"/>
    </font>
    <font>
      <sz val="11"/>
      <name val="Meiryo UI"/>
      <family val="3"/>
      <charset val="128"/>
    </font>
    <font>
      <b/>
      <sz val="14"/>
      <color indexed="14"/>
      <name val="Meiryo UI"/>
      <family val="3"/>
      <charset val="128"/>
    </font>
    <font>
      <sz val="9"/>
      <color indexed="8"/>
      <name val="Meiryo UI"/>
      <family val="3"/>
      <charset val="128"/>
    </font>
    <font>
      <b/>
      <sz val="18"/>
      <name val="Meiryo UI"/>
      <family val="3"/>
      <charset val="128"/>
    </font>
    <font>
      <b/>
      <sz val="18"/>
      <color indexed="8"/>
      <name val="Meiryo UI"/>
      <family val="3"/>
      <charset val="128"/>
    </font>
    <font>
      <sz val="12"/>
      <color indexed="8"/>
      <name val="Meiryo UI"/>
      <family val="3"/>
      <charset val="128"/>
    </font>
    <font>
      <sz val="8"/>
      <color indexed="8"/>
      <name val="Meiryo UI"/>
      <family val="3"/>
      <charset val="128"/>
    </font>
    <font>
      <sz val="10"/>
      <name val="Meiryo UI"/>
      <family val="3"/>
      <charset val="128"/>
    </font>
    <font>
      <b/>
      <sz val="16"/>
      <color indexed="8"/>
      <name val="Meiryo UI"/>
      <family val="3"/>
      <charset val="128"/>
    </font>
    <font>
      <sz val="6"/>
      <name val="ＭＳ Ｐゴシック"/>
      <family val="3"/>
      <charset val="128"/>
    </font>
    <font>
      <sz val="10"/>
      <color indexed="10"/>
      <name val="Meiryo UI"/>
      <family val="3"/>
      <charset val="128"/>
    </font>
    <font>
      <sz val="11"/>
      <color indexed="8"/>
      <name val="Meiryo UI"/>
      <family val="3"/>
      <charset val="128"/>
    </font>
    <font>
      <sz val="16"/>
      <color indexed="8"/>
      <name val="Meiryo UI"/>
      <family val="3"/>
      <charset val="128"/>
    </font>
    <font>
      <u/>
      <sz val="11"/>
      <color indexed="10"/>
      <name val="Meiryo UI"/>
      <family val="3"/>
      <charset val="128"/>
    </font>
    <font>
      <sz val="7"/>
      <color indexed="8"/>
      <name val="Meiryo UI"/>
      <family val="3"/>
      <charset val="128"/>
    </font>
    <font>
      <b/>
      <sz val="16"/>
      <color indexed="12"/>
      <name val="Meiryo UI"/>
      <family val="3"/>
      <charset val="128"/>
    </font>
    <font>
      <sz val="14"/>
      <name val="Meiryo UI"/>
      <family val="3"/>
      <charset val="128"/>
    </font>
    <font>
      <sz val="11"/>
      <color theme="1"/>
      <name val="ＭＳ Ｐゴシック"/>
      <family val="3"/>
      <charset val="128"/>
      <scheme val="minor"/>
    </font>
    <font>
      <sz val="11"/>
      <color theme="1"/>
      <name val="Meiryo UI"/>
      <family val="3"/>
      <charset val="128"/>
    </font>
    <font>
      <sz val="11"/>
      <color rgb="FFFF0000"/>
      <name val="Meiryo UI"/>
      <family val="3"/>
      <charset val="128"/>
    </font>
    <font>
      <b/>
      <sz val="18"/>
      <color theme="0"/>
      <name val="Meiryo UI"/>
      <family val="3"/>
      <charset val="128"/>
    </font>
    <font>
      <b/>
      <sz val="11"/>
      <color theme="0"/>
      <name val="Meiryo UI"/>
      <family val="3"/>
      <charset val="128"/>
    </font>
    <font>
      <b/>
      <sz val="11"/>
      <color rgb="FF0000CC"/>
      <name val="Meiryo UI"/>
      <family val="3"/>
      <charset val="128"/>
    </font>
    <font>
      <sz val="16"/>
      <color theme="0"/>
      <name val="Meiryo UI"/>
      <family val="3"/>
      <charset val="128"/>
    </font>
    <font>
      <b/>
      <sz val="16"/>
      <color theme="1"/>
      <name val="Meiryo UI"/>
      <family val="3"/>
      <charset val="128"/>
    </font>
    <font>
      <sz val="9"/>
      <color rgb="FFDD0806"/>
      <name val="Meiryo UI"/>
      <family val="3"/>
      <charset val="128"/>
    </font>
    <font>
      <sz val="10"/>
      <color rgb="FFFF0000"/>
      <name val="Meiryo UI"/>
      <family val="3"/>
      <charset val="128"/>
    </font>
    <font>
      <b/>
      <sz val="12"/>
      <color rgb="FFFF0000"/>
      <name val="Meiryo UI"/>
      <family val="3"/>
      <charset val="128"/>
    </font>
    <font>
      <b/>
      <sz val="11"/>
      <color rgb="FFFF0000"/>
      <name val="Meiryo UI"/>
      <family val="3"/>
      <charset val="128"/>
    </font>
    <font>
      <sz val="11"/>
      <color theme="0"/>
      <name val="Meiryo UI"/>
      <family val="3"/>
      <charset val="128"/>
    </font>
    <font>
      <sz val="14"/>
      <color theme="0"/>
      <name val="Meiryo UI"/>
      <family val="3"/>
      <charset val="128"/>
    </font>
    <font>
      <sz val="14"/>
      <color theme="1"/>
      <name val="Meiryo UI"/>
      <family val="3"/>
      <charset val="128"/>
    </font>
  </fonts>
  <fills count="19">
    <fill>
      <patternFill patternType="none"/>
    </fill>
    <fill>
      <patternFill patternType="gray125"/>
    </fill>
    <fill>
      <patternFill patternType="solid">
        <fgColor indexed="41"/>
        <bgColor indexed="64"/>
      </patternFill>
    </fill>
    <fill>
      <patternFill patternType="solid">
        <fgColor indexed="42"/>
        <bgColor indexed="64"/>
      </patternFill>
    </fill>
    <fill>
      <patternFill patternType="solid">
        <fgColor indexed="47"/>
        <bgColor indexed="64"/>
      </patternFill>
    </fill>
    <fill>
      <patternFill patternType="solid">
        <fgColor indexed="46"/>
        <bgColor indexed="64"/>
      </patternFill>
    </fill>
    <fill>
      <patternFill patternType="solid">
        <fgColor indexed="23"/>
        <bgColor indexed="64"/>
      </patternFill>
    </fill>
    <fill>
      <patternFill patternType="solid">
        <fgColor indexed="43"/>
        <bgColor indexed="64"/>
      </patternFill>
    </fill>
    <fill>
      <patternFill patternType="solid">
        <fgColor indexed="9"/>
        <bgColor indexed="64"/>
      </patternFill>
    </fill>
    <fill>
      <patternFill patternType="solid">
        <fgColor indexed="22"/>
        <bgColor indexed="64"/>
      </patternFill>
    </fill>
    <fill>
      <patternFill patternType="solid">
        <fgColor indexed="45"/>
        <bgColor indexed="64"/>
      </patternFill>
    </fill>
    <fill>
      <patternFill patternType="solid">
        <fgColor indexed="13"/>
        <bgColor indexed="64"/>
      </patternFill>
    </fill>
    <fill>
      <patternFill patternType="solid">
        <fgColor rgb="FFC00000"/>
        <bgColor indexed="64"/>
      </patternFill>
    </fill>
    <fill>
      <patternFill patternType="solid">
        <fgColor rgb="FF00FFFF"/>
        <bgColor indexed="64"/>
      </patternFill>
    </fill>
    <fill>
      <patternFill patternType="solid">
        <fgColor rgb="FFFFFF00"/>
        <bgColor indexed="64"/>
      </patternFill>
    </fill>
    <fill>
      <patternFill patternType="solid">
        <fgColor rgb="FFFFCCFF"/>
        <bgColor indexed="64"/>
      </patternFill>
    </fill>
    <fill>
      <patternFill patternType="solid">
        <fgColor rgb="FFFFFF99"/>
        <bgColor indexed="64"/>
      </patternFill>
    </fill>
    <fill>
      <patternFill patternType="solid">
        <fgColor rgb="FFCCFFFF"/>
        <bgColor indexed="64"/>
      </patternFill>
    </fill>
    <fill>
      <patternFill patternType="solid">
        <fgColor theme="9" tint="0.39997558519241921"/>
        <bgColor indexed="64"/>
      </patternFill>
    </fill>
  </fills>
  <borders count="7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style="hair">
        <color indexed="64"/>
      </left>
      <right style="thin">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Down="1">
      <left style="medium">
        <color indexed="64"/>
      </left>
      <right style="thin">
        <color indexed="64"/>
      </right>
      <top style="medium">
        <color indexed="64"/>
      </top>
      <bottom style="thin">
        <color indexed="64"/>
      </bottom>
      <diagonal style="hair">
        <color indexed="64"/>
      </diagonal>
    </border>
    <border>
      <left style="medium">
        <color indexed="64"/>
      </left>
      <right style="hair">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0" fontId="29" fillId="0" borderId="0">
      <alignment vertical="center"/>
    </xf>
  </cellStyleXfs>
  <cellXfs count="246">
    <xf numFmtId="0" fontId="0" fillId="0" borderId="0" xfId="0">
      <alignment vertical="center"/>
    </xf>
    <xf numFmtId="0" fontId="30" fillId="0" borderId="0" xfId="0" applyFont="1">
      <alignment vertical="center"/>
    </xf>
    <xf numFmtId="0" fontId="30" fillId="0" borderId="0" xfId="0" applyFont="1" applyFill="1" applyAlignment="1">
      <alignment vertical="center" wrapText="1"/>
    </xf>
    <xf numFmtId="0" fontId="30" fillId="0" borderId="0" xfId="0" applyFont="1" applyBorder="1">
      <alignment vertical="center"/>
    </xf>
    <xf numFmtId="0" fontId="30" fillId="0" borderId="0" xfId="0" applyFont="1" applyAlignment="1">
      <alignment horizontal="center" vertical="center"/>
    </xf>
    <xf numFmtId="0" fontId="5" fillId="0" borderId="0" xfId="0" applyFont="1" applyFill="1" applyAlignment="1">
      <alignment vertical="center" wrapText="1"/>
    </xf>
    <xf numFmtId="0" fontId="30" fillId="0" borderId="1" xfId="0" applyFont="1" applyBorder="1" applyAlignment="1">
      <alignment horizontal="center" vertical="center"/>
    </xf>
    <xf numFmtId="0" fontId="6" fillId="0" borderId="2" xfId="0" applyFont="1" applyBorder="1" applyAlignment="1">
      <alignment horizontal="center" vertical="center"/>
    </xf>
    <xf numFmtId="0" fontId="6" fillId="0" borderId="0" xfId="0" applyFont="1" applyAlignment="1">
      <alignment horizontal="left" vertical="center"/>
    </xf>
    <xf numFmtId="0" fontId="7" fillId="0" borderId="0" xfId="0" applyFont="1" applyAlignment="1">
      <alignment horizontal="left" vertical="center"/>
    </xf>
    <xf numFmtId="0" fontId="5" fillId="0" borderId="0" xfId="0" applyFont="1">
      <alignment vertical="center"/>
    </xf>
    <xf numFmtId="0" fontId="8" fillId="0" borderId="0" xfId="0" applyFont="1" applyFill="1">
      <alignment vertical="center"/>
    </xf>
    <xf numFmtId="0" fontId="30"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4" fillId="0" borderId="6" xfId="0" applyFont="1" applyBorder="1" applyAlignment="1">
      <alignment horizontal="center" vertical="center" shrinkToFit="1"/>
    </xf>
    <xf numFmtId="0" fontId="30" fillId="0" borderId="7" xfId="0" applyFont="1" applyBorder="1" applyAlignment="1">
      <alignment horizontal="center" vertical="center"/>
    </xf>
    <xf numFmtId="0" fontId="30" fillId="0" borderId="8" xfId="0" applyFont="1" applyBorder="1" applyAlignment="1">
      <alignment horizontal="center" vertical="center"/>
    </xf>
    <xf numFmtId="176" fontId="9" fillId="0" borderId="9" xfId="0" applyNumberFormat="1" applyFont="1" applyFill="1" applyBorder="1" applyAlignment="1" applyProtection="1">
      <alignment horizontal="center" vertical="center"/>
    </xf>
    <xf numFmtId="0" fontId="8" fillId="0" borderId="0" xfId="0" applyFont="1" applyFill="1" applyBorder="1">
      <alignment vertical="center"/>
    </xf>
    <xf numFmtId="0" fontId="11" fillId="0" borderId="0" xfId="0" applyFont="1" applyFill="1" applyBorder="1" applyAlignment="1">
      <alignment horizontal="center" vertical="center" wrapText="1"/>
    </xf>
    <xf numFmtId="0" fontId="12" fillId="0" borderId="0" xfId="0" applyFont="1" applyBorder="1">
      <alignment vertical="center"/>
    </xf>
    <xf numFmtId="0" fontId="12" fillId="0" borderId="0" xfId="0" applyFont="1">
      <alignment vertical="center"/>
    </xf>
    <xf numFmtId="0" fontId="30" fillId="0" borderId="5" xfId="0" applyFont="1" applyBorder="1">
      <alignment vertical="center"/>
    </xf>
    <xf numFmtId="0" fontId="10" fillId="0" borderId="0" xfId="0" applyFont="1">
      <alignment vertical="center"/>
    </xf>
    <xf numFmtId="0" fontId="13" fillId="0" borderId="0" xfId="0" applyFont="1">
      <alignment vertical="center"/>
    </xf>
    <xf numFmtId="0" fontId="30" fillId="0" borderId="2" xfId="0" applyFont="1" applyBorder="1">
      <alignment vertical="center"/>
    </xf>
    <xf numFmtId="0" fontId="14" fillId="2" borderId="5" xfId="0" applyFont="1" applyFill="1" applyBorder="1" applyAlignment="1">
      <alignment horizontal="center" vertical="center" wrapText="1"/>
    </xf>
    <xf numFmtId="0" fontId="12" fillId="0" borderId="0" xfId="0" applyFont="1" applyBorder="1" applyAlignment="1">
      <alignment horizontal="center" vertical="center"/>
    </xf>
    <xf numFmtId="49" fontId="30" fillId="3" borderId="10" xfId="0" applyNumberFormat="1" applyFont="1" applyFill="1" applyBorder="1">
      <alignment vertical="center"/>
    </xf>
    <xf numFmtId="49" fontId="30" fillId="4" borderId="11" xfId="0" applyNumberFormat="1" applyFont="1" applyFill="1" applyBorder="1">
      <alignment vertical="center"/>
    </xf>
    <xf numFmtId="0" fontId="15" fillId="0" borderId="1" xfId="0" applyNumberFormat="1" applyFont="1" applyBorder="1" applyAlignment="1">
      <alignment horizontal="center" vertical="center"/>
    </xf>
    <xf numFmtId="0" fontId="15" fillId="0" borderId="12" xfId="0" applyNumberFormat="1" applyFont="1" applyBorder="1" applyAlignment="1">
      <alignment horizontal="center" vertical="center"/>
    </xf>
    <xf numFmtId="0" fontId="30" fillId="5" borderId="1" xfId="0" applyFont="1" applyFill="1" applyBorder="1">
      <alignment vertical="center"/>
    </xf>
    <xf numFmtId="0" fontId="30" fillId="5" borderId="1" xfId="0" applyFont="1" applyFill="1" applyBorder="1" applyAlignment="1" applyProtection="1">
      <alignment horizontal="center" vertical="center"/>
    </xf>
    <xf numFmtId="0" fontId="30" fillId="5" borderId="12" xfId="0" applyFont="1" applyFill="1" applyBorder="1" applyAlignment="1" applyProtection="1">
      <alignment horizontal="center" vertical="center"/>
    </xf>
    <xf numFmtId="0" fontId="15" fillId="6" borderId="1" xfId="0" applyNumberFormat="1" applyFont="1" applyFill="1" applyBorder="1" applyAlignment="1">
      <alignment horizontal="center" vertical="center"/>
    </xf>
    <xf numFmtId="0" fontId="8" fillId="0" borderId="0" xfId="0" applyFont="1">
      <alignment vertical="center"/>
    </xf>
    <xf numFmtId="0" fontId="30" fillId="7" borderId="1" xfId="0" applyFont="1" applyFill="1" applyBorder="1" applyProtection="1">
      <alignment vertical="center"/>
      <protection locked="0"/>
    </xf>
    <xf numFmtId="0" fontId="30" fillId="0" borderId="13" xfId="0" applyFont="1" applyBorder="1">
      <alignment vertical="center"/>
    </xf>
    <xf numFmtId="0" fontId="12" fillId="0" borderId="0" xfId="0" applyFont="1" applyFill="1">
      <alignment vertical="center"/>
    </xf>
    <xf numFmtId="0" fontId="15" fillId="6" borderId="12" xfId="0" applyNumberFormat="1" applyFont="1" applyFill="1" applyBorder="1" applyAlignment="1">
      <alignment horizontal="center" vertical="center"/>
    </xf>
    <xf numFmtId="0" fontId="8" fillId="8" borderId="0" xfId="0" applyFont="1" applyFill="1">
      <alignment vertical="center"/>
    </xf>
    <xf numFmtId="0" fontId="30" fillId="0" borderId="14" xfId="0" applyFont="1" applyBorder="1">
      <alignment vertical="center"/>
    </xf>
    <xf numFmtId="0" fontId="30" fillId="0" borderId="0" xfId="0" applyFont="1" applyFill="1">
      <alignment vertical="center"/>
    </xf>
    <xf numFmtId="0" fontId="3" fillId="0" borderId="0" xfId="0" applyFont="1" applyBorder="1">
      <alignment vertical="center"/>
    </xf>
    <xf numFmtId="49" fontId="30" fillId="3" borderId="15" xfId="0" applyNumberFormat="1" applyFont="1" applyFill="1" applyBorder="1">
      <alignment vertical="center"/>
    </xf>
    <xf numFmtId="49" fontId="30" fillId="4" borderId="7" xfId="0" applyNumberFormat="1" applyFont="1" applyFill="1" applyBorder="1">
      <alignment vertical="center"/>
    </xf>
    <xf numFmtId="0" fontId="15" fillId="0" borderId="2" xfId="0" applyNumberFormat="1" applyFont="1" applyBorder="1" applyAlignment="1">
      <alignment horizontal="center" vertical="center"/>
    </xf>
    <xf numFmtId="0" fontId="15" fillId="6" borderId="8" xfId="0" applyNumberFormat="1" applyFont="1" applyFill="1" applyBorder="1" applyAlignment="1">
      <alignment horizontal="center" vertical="center"/>
    </xf>
    <xf numFmtId="0" fontId="30" fillId="7" borderId="2" xfId="0" applyFont="1" applyFill="1" applyBorder="1" applyProtection="1">
      <alignment vertical="center"/>
      <protection locked="0"/>
    </xf>
    <xf numFmtId="49" fontId="16" fillId="0" borderId="0" xfId="0" applyNumberFormat="1" applyFont="1" applyFill="1" applyBorder="1" applyAlignment="1">
      <alignment horizontal="center" vertical="center"/>
    </xf>
    <xf numFmtId="49" fontId="30" fillId="0" borderId="0" xfId="0" applyNumberFormat="1" applyFont="1" applyFill="1" applyBorder="1" applyAlignment="1">
      <alignment horizontal="center" vertical="center"/>
    </xf>
    <xf numFmtId="49" fontId="30" fillId="0" borderId="0" xfId="0" applyNumberFormat="1" applyFont="1" applyFill="1" applyBorder="1">
      <alignment vertical="center"/>
    </xf>
    <xf numFmtId="49" fontId="30" fillId="0" borderId="0" xfId="0" applyNumberFormat="1" applyFont="1" applyFill="1" applyBorder="1" applyAlignment="1">
      <alignment vertical="center" wrapText="1"/>
    </xf>
    <xf numFmtId="0" fontId="30" fillId="0" borderId="0" xfId="0" applyFont="1" applyFill="1" applyBorder="1">
      <alignment vertical="center"/>
    </xf>
    <xf numFmtId="0" fontId="30" fillId="0" borderId="0" xfId="0" applyFont="1" applyFill="1" applyBorder="1" applyAlignment="1">
      <alignment horizontal="center" vertical="center"/>
    </xf>
    <xf numFmtId="5" fontId="17" fillId="0" borderId="7" xfId="0" applyNumberFormat="1" applyFont="1" applyBorder="1" applyAlignment="1">
      <alignment horizontal="center" vertical="center" shrinkToFit="1"/>
    </xf>
    <xf numFmtId="5" fontId="17" fillId="0" borderId="2" xfId="0" applyNumberFormat="1" applyFont="1" applyBorder="1" applyAlignment="1">
      <alignment horizontal="center" vertical="center" shrinkToFit="1"/>
    </xf>
    <xf numFmtId="176" fontId="4" fillId="0" borderId="8" xfId="0" applyNumberFormat="1" applyFont="1" applyBorder="1" applyAlignment="1">
      <alignment horizontal="center" vertical="center" shrinkToFit="1"/>
    </xf>
    <xf numFmtId="0" fontId="30" fillId="0" borderId="0" xfId="0" applyFont="1" applyFill="1" applyAlignment="1">
      <alignment vertical="top" wrapText="1"/>
    </xf>
    <xf numFmtId="0" fontId="30" fillId="0" borderId="0" xfId="0" applyFont="1" applyAlignment="1">
      <alignment vertical="center"/>
    </xf>
    <xf numFmtId="177" fontId="30" fillId="0" borderId="9" xfId="0" applyNumberFormat="1" applyFont="1" applyBorder="1" applyAlignment="1">
      <alignment horizontal="center" vertical="center"/>
    </xf>
    <xf numFmtId="178" fontId="30" fillId="0" borderId="9" xfId="0" applyNumberFormat="1" applyFont="1" applyBorder="1" applyAlignment="1">
      <alignment horizontal="center" vertical="center"/>
    </xf>
    <xf numFmtId="176" fontId="30" fillId="0" borderId="9" xfId="0" applyNumberFormat="1" applyFont="1" applyFill="1" applyBorder="1" applyAlignment="1">
      <alignment horizontal="center" vertical="center"/>
    </xf>
    <xf numFmtId="176" fontId="30" fillId="0" borderId="9" xfId="0" applyNumberFormat="1" applyFont="1" applyBorder="1" applyAlignment="1">
      <alignment horizontal="center" vertical="center"/>
    </xf>
    <xf numFmtId="0" fontId="30" fillId="0" borderId="0" xfId="0" applyFont="1" applyFill="1" applyAlignment="1">
      <alignment vertical="top"/>
    </xf>
    <xf numFmtId="0" fontId="30" fillId="0" borderId="16" xfId="0" applyFont="1" applyBorder="1" applyAlignment="1">
      <alignment vertical="center" wrapText="1"/>
    </xf>
    <xf numFmtId="0" fontId="30" fillId="0" borderId="17" xfId="0" applyFont="1" applyBorder="1" applyAlignment="1">
      <alignment vertical="center" wrapText="1"/>
    </xf>
    <xf numFmtId="0" fontId="4" fillId="0" borderId="0" xfId="0" applyFont="1" applyBorder="1" applyAlignment="1">
      <alignment vertical="center"/>
    </xf>
    <xf numFmtId="0" fontId="18" fillId="0" borderId="0" xfId="0" applyFont="1" applyBorder="1" applyAlignment="1">
      <alignment horizontal="center" vertical="center" wrapText="1"/>
    </xf>
    <xf numFmtId="0" fontId="4" fillId="0" borderId="18"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30" fillId="7" borderId="20" xfId="0" applyFont="1" applyFill="1" applyBorder="1" applyAlignment="1" applyProtection="1">
      <alignment horizontal="center" vertical="center"/>
      <protection locked="0"/>
    </xf>
    <xf numFmtId="0" fontId="30" fillId="7" borderId="21" xfId="0" applyFont="1" applyFill="1" applyBorder="1" applyProtection="1">
      <alignment vertical="center"/>
      <protection locked="0"/>
    </xf>
    <xf numFmtId="0" fontId="30" fillId="7" borderId="22" xfId="0" applyFont="1" applyFill="1" applyBorder="1" applyAlignment="1" applyProtection="1">
      <alignment horizontal="center" vertical="center"/>
      <protection locked="0"/>
    </xf>
    <xf numFmtId="0" fontId="30" fillId="7" borderId="23" xfId="0" applyFont="1" applyFill="1" applyBorder="1" applyProtection="1">
      <alignment vertical="center"/>
      <protection locked="0"/>
    </xf>
    <xf numFmtId="0" fontId="30" fillId="7" borderId="24" xfId="0" applyFont="1" applyFill="1" applyBorder="1" applyAlignment="1" applyProtection="1">
      <alignment horizontal="center" vertical="center"/>
      <protection locked="0"/>
    </xf>
    <xf numFmtId="0" fontId="30" fillId="7" borderId="25" xfId="0" applyFont="1" applyFill="1" applyBorder="1" applyProtection="1">
      <alignment vertical="center"/>
      <protection locked="0"/>
    </xf>
    <xf numFmtId="0" fontId="30" fillId="7" borderId="26" xfId="0" applyFont="1" applyFill="1" applyBorder="1" applyAlignment="1" applyProtection="1">
      <alignment horizontal="center" vertical="center"/>
      <protection locked="0"/>
    </xf>
    <xf numFmtId="0" fontId="30" fillId="7" borderId="27" xfId="0" applyFont="1" applyFill="1" applyBorder="1" applyProtection="1">
      <alignment vertical="center"/>
      <protection locked="0"/>
    </xf>
    <xf numFmtId="0" fontId="8" fillId="0" borderId="0" xfId="0" applyNumberFormat="1" applyFont="1" applyFill="1" applyAlignment="1">
      <alignment vertical="center" wrapText="1" shrinkToFit="1"/>
    </xf>
    <xf numFmtId="0" fontId="8" fillId="0" borderId="28"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30" fillId="7" borderId="29" xfId="0" applyFont="1" applyFill="1" applyBorder="1" applyAlignment="1" applyProtection="1">
      <alignment horizontal="center" vertical="center"/>
      <protection locked="0"/>
    </xf>
    <xf numFmtId="0" fontId="30" fillId="7" borderId="30" xfId="0" applyFont="1" applyFill="1" applyBorder="1" applyProtection="1">
      <alignment vertical="center"/>
      <protection locked="0"/>
    </xf>
    <xf numFmtId="0" fontId="30" fillId="7" borderId="31" xfId="0" applyFont="1" applyFill="1" applyBorder="1" applyAlignment="1" applyProtection="1">
      <alignment horizontal="center" vertical="center"/>
      <protection locked="0"/>
    </xf>
    <xf numFmtId="0" fontId="30" fillId="7" borderId="32" xfId="0" applyFont="1" applyFill="1" applyBorder="1" applyProtection="1">
      <alignment vertical="center"/>
      <protection locked="0"/>
    </xf>
    <xf numFmtId="0" fontId="6" fillId="7" borderId="9" xfId="0" applyFont="1" applyFill="1" applyBorder="1" applyAlignment="1" applyProtection="1">
      <alignment horizontal="center" vertical="center"/>
      <protection locked="0"/>
    </xf>
    <xf numFmtId="0" fontId="30" fillId="7" borderId="33" xfId="0" applyFont="1" applyFill="1" applyBorder="1" applyAlignment="1" applyProtection="1">
      <alignment horizontal="center" vertical="center"/>
      <protection locked="0"/>
    </xf>
    <xf numFmtId="0" fontId="30" fillId="7" borderId="34" xfId="0" applyFont="1" applyFill="1" applyBorder="1" applyProtection="1">
      <alignment vertical="center"/>
      <protection locked="0"/>
    </xf>
    <xf numFmtId="0" fontId="30" fillId="7" borderId="35" xfId="0" applyFont="1" applyFill="1" applyBorder="1" applyAlignment="1" applyProtection="1">
      <alignment horizontal="center" vertical="center"/>
      <protection locked="0"/>
    </xf>
    <xf numFmtId="0" fontId="30" fillId="7" borderId="36" xfId="0" applyFont="1" applyFill="1" applyBorder="1" applyProtection="1">
      <alignment vertical="center"/>
      <protection locked="0"/>
    </xf>
    <xf numFmtId="49" fontId="30" fillId="0" borderId="0" xfId="0" applyNumberFormat="1" applyFont="1" applyAlignment="1">
      <alignment horizontal="center" vertical="center"/>
    </xf>
    <xf numFmtId="0" fontId="30" fillId="0" borderId="0" xfId="0" applyFont="1" applyFill="1" applyAlignment="1">
      <alignment horizontal="center" vertical="center"/>
    </xf>
    <xf numFmtId="0" fontId="30" fillId="0" borderId="0" xfId="0" applyFont="1" applyAlignment="1">
      <alignment horizontal="center" vertical="center"/>
    </xf>
    <xf numFmtId="0" fontId="12" fillId="0" borderId="0" xfId="0" applyFont="1" applyFill="1" applyAlignment="1">
      <alignment horizontal="center" vertical="center"/>
    </xf>
    <xf numFmtId="0" fontId="12" fillId="0" borderId="37" xfId="0" applyFont="1" applyBorder="1">
      <alignment vertical="center"/>
    </xf>
    <xf numFmtId="0" fontId="12" fillId="0" borderId="1" xfId="0" applyFont="1" applyBorder="1">
      <alignment vertical="center"/>
    </xf>
    <xf numFmtId="0" fontId="31" fillId="0" borderId="38" xfId="0" applyFont="1" applyBorder="1">
      <alignment vertical="center"/>
    </xf>
    <xf numFmtId="0" fontId="12" fillId="0" borderId="38" xfId="0" applyFont="1" applyBorder="1">
      <alignment vertical="center"/>
    </xf>
    <xf numFmtId="49" fontId="20" fillId="9" borderId="1" xfId="0" applyNumberFormat="1" applyFont="1" applyFill="1" applyBorder="1" applyAlignment="1">
      <alignment horizontal="center" vertical="center"/>
    </xf>
    <xf numFmtId="49" fontId="20" fillId="9" borderId="12" xfId="0" applyNumberFormat="1" applyFont="1" applyFill="1" applyBorder="1" applyAlignment="1">
      <alignment horizontal="center" vertical="center"/>
    </xf>
    <xf numFmtId="49" fontId="20" fillId="9" borderId="8" xfId="0" applyNumberFormat="1" applyFont="1" applyFill="1" applyBorder="1" applyAlignment="1">
      <alignment horizontal="center" vertical="center"/>
    </xf>
    <xf numFmtId="0" fontId="6" fillId="0" borderId="15" xfId="0" applyFont="1" applyFill="1" applyBorder="1" applyAlignment="1" applyProtection="1">
      <alignment horizontal="center" vertical="center"/>
    </xf>
    <xf numFmtId="0" fontId="30" fillId="9" borderId="12" xfId="0" applyFont="1" applyFill="1" applyBorder="1" applyAlignment="1" applyProtection="1">
      <alignment horizontal="center" vertical="center" shrinkToFit="1"/>
    </xf>
    <xf numFmtId="0" fontId="30" fillId="9" borderId="8" xfId="0" applyFont="1" applyFill="1" applyBorder="1" applyAlignment="1" applyProtection="1">
      <alignment horizontal="center" vertical="center" shrinkToFit="1"/>
    </xf>
    <xf numFmtId="0" fontId="30" fillId="7" borderId="1" xfId="0" applyFont="1" applyFill="1" applyBorder="1" applyAlignment="1" applyProtection="1">
      <alignment horizontal="center" vertical="center" shrinkToFit="1"/>
      <protection locked="0"/>
    </xf>
    <xf numFmtId="0" fontId="30" fillId="5" borderId="1" xfId="0" applyFont="1" applyFill="1" applyBorder="1" applyAlignment="1">
      <alignment horizontal="center" vertical="center"/>
    </xf>
    <xf numFmtId="0" fontId="14" fillId="0" borderId="38" xfId="0" applyFont="1" applyBorder="1" applyAlignment="1">
      <alignment horizontal="center" vertical="center" wrapText="1"/>
    </xf>
    <xf numFmtId="0" fontId="14" fillId="10" borderId="6" xfId="0" applyFont="1" applyFill="1" applyBorder="1" applyAlignment="1">
      <alignment horizontal="center" vertical="center" wrapText="1"/>
    </xf>
    <xf numFmtId="0" fontId="18" fillId="7" borderId="39" xfId="0" applyFont="1" applyFill="1" applyBorder="1" applyAlignment="1">
      <alignment vertical="center" wrapText="1"/>
    </xf>
    <xf numFmtId="0" fontId="30" fillId="5" borderId="5" xfId="0" applyFont="1" applyFill="1" applyBorder="1">
      <alignment vertical="center"/>
    </xf>
    <xf numFmtId="0" fontId="30" fillId="5" borderId="5" xfId="0" applyFont="1" applyFill="1" applyBorder="1" applyAlignment="1">
      <alignment horizontal="center" vertical="center"/>
    </xf>
    <xf numFmtId="0" fontId="30" fillId="5" borderId="5" xfId="0" applyFont="1" applyFill="1" applyBorder="1" applyAlignment="1" applyProtection="1">
      <alignment horizontal="center" vertical="center"/>
    </xf>
    <xf numFmtId="0" fontId="30" fillId="5" borderId="6" xfId="0" applyFont="1" applyFill="1" applyBorder="1" applyAlignment="1" applyProtection="1">
      <alignment horizontal="center" vertical="center"/>
    </xf>
    <xf numFmtId="0" fontId="23" fillId="0" borderId="0" xfId="0" applyFont="1">
      <alignment vertical="center"/>
    </xf>
    <xf numFmtId="0" fontId="23" fillId="11" borderId="0" xfId="0" applyFont="1" applyFill="1" applyAlignment="1">
      <alignment vertical="center"/>
    </xf>
    <xf numFmtId="0" fontId="23" fillId="0" borderId="0" xfId="0" applyFont="1" applyFill="1" applyAlignment="1">
      <alignment horizontal="left" vertical="center"/>
    </xf>
    <xf numFmtId="0" fontId="32" fillId="12" borderId="0" xfId="0" applyFont="1" applyFill="1" applyAlignment="1">
      <alignment horizontal="center" vertical="center"/>
    </xf>
    <xf numFmtId="0" fontId="23" fillId="0" borderId="0" xfId="0" applyFont="1" applyFill="1">
      <alignment vertical="center"/>
    </xf>
    <xf numFmtId="0" fontId="23" fillId="0" borderId="0" xfId="0" applyFont="1" applyFill="1" applyAlignment="1">
      <alignment vertical="center"/>
    </xf>
    <xf numFmtId="0" fontId="33" fillId="12" borderId="0" xfId="0" applyFont="1" applyFill="1" applyAlignment="1">
      <alignment horizontal="left" vertical="center"/>
    </xf>
    <xf numFmtId="0" fontId="34" fillId="0" borderId="0" xfId="0" applyFont="1">
      <alignment vertical="center"/>
    </xf>
    <xf numFmtId="0" fontId="31" fillId="0" borderId="0" xfId="0" applyFont="1">
      <alignment vertical="center"/>
    </xf>
    <xf numFmtId="0" fontId="30" fillId="0" borderId="0" xfId="0" applyFont="1" applyAlignment="1">
      <alignment horizontal="center" vertical="center"/>
    </xf>
    <xf numFmtId="0" fontId="26" fillId="0" borderId="40" xfId="0" applyFont="1" applyBorder="1" applyAlignment="1">
      <alignment horizontal="center" vertical="center" wrapText="1"/>
    </xf>
    <xf numFmtId="0" fontId="26" fillId="0" borderId="41" xfId="0" applyFont="1" applyBorder="1" applyAlignment="1">
      <alignment horizontal="center" vertical="center" wrapText="1"/>
    </xf>
    <xf numFmtId="0" fontId="4" fillId="7" borderId="9" xfId="0" applyFont="1" applyFill="1" applyBorder="1" applyAlignment="1" applyProtection="1">
      <alignment horizontal="center" vertical="center" wrapText="1"/>
    </xf>
    <xf numFmtId="0" fontId="4" fillId="7" borderId="42" xfId="0" applyFont="1" applyFill="1" applyBorder="1" applyAlignment="1" applyProtection="1">
      <alignment horizontal="center" vertical="center" wrapText="1"/>
    </xf>
    <xf numFmtId="0" fontId="30" fillId="7" borderId="1" xfId="0" applyFont="1" applyFill="1" applyBorder="1" applyAlignment="1" applyProtection="1">
      <alignment horizontal="center" vertical="center" shrinkToFit="1"/>
      <protection locked="0"/>
    </xf>
    <xf numFmtId="0" fontId="30" fillId="7" borderId="2" xfId="0" applyFont="1" applyFill="1" applyBorder="1" applyAlignment="1" applyProtection="1">
      <alignment horizontal="center" vertical="center" shrinkToFit="1"/>
      <protection locked="0"/>
    </xf>
    <xf numFmtId="0" fontId="30" fillId="7" borderId="38" xfId="0" applyFont="1" applyFill="1" applyBorder="1" applyAlignment="1" applyProtection="1">
      <alignment horizontal="center" vertical="center" shrinkToFit="1"/>
      <protection locked="0"/>
    </xf>
    <xf numFmtId="0" fontId="30" fillId="9" borderId="43" xfId="0" applyFont="1" applyFill="1" applyBorder="1" applyAlignment="1" applyProtection="1">
      <alignment horizontal="center" vertical="center" shrinkToFit="1"/>
    </xf>
    <xf numFmtId="0" fontId="30" fillId="7" borderId="38" xfId="0" applyFont="1" applyFill="1" applyBorder="1" applyProtection="1">
      <alignment vertical="center"/>
      <protection locked="0"/>
    </xf>
    <xf numFmtId="49" fontId="30" fillId="3" borderId="44" xfId="0" applyNumberFormat="1" applyFont="1" applyFill="1" applyBorder="1">
      <alignment vertical="center"/>
    </xf>
    <xf numFmtId="49" fontId="20" fillId="9" borderId="38" xfId="0" applyNumberFormat="1" applyFont="1" applyFill="1" applyBorder="1" applyAlignment="1">
      <alignment horizontal="center" vertical="center"/>
    </xf>
    <xf numFmtId="49" fontId="30" fillId="4" borderId="45" xfId="0" applyNumberFormat="1" applyFont="1" applyFill="1" applyBorder="1">
      <alignment vertical="center"/>
    </xf>
    <xf numFmtId="0" fontId="15" fillId="6" borderId="38" xfId="0" applyNumberFormat="1" applyFont="1" applyFill="1" applyBorder="1" applyAlignment="1">
      <alignment horizontal="center" vertical="center"/>
    </xf>
    <xf numFmtId="0" fontId="15" fillId="0" borderId="43" xfId="0" applyNumberFormat="1" applyFont="1" applyBorder="1" applyAlignment="1">
      <alignment horizontal="center" vertical="center"/>
    </xf>
    <xf numFmtId="0" fontId="27" fillId="0" borderId="1" xfId="0" applyFont="1" applyBorder="1" applyAlignment="1">
      <alignment horizontal="center" vertical="center"/>
    </xf>
    <xf numFmtId="0" fontId="27" fillId="0" borderId="12" xfId="0" applyFont="1" applyBorder="1" applyAlignment="1">
      <alignment horizontal="center" vertical="center"/>
    </xf>
    <xf numFmtId="0" fontId="27" fillId="0" borderId="2" xfId="0" applyFont="1" applyBorder="1" applyAlignment="1">
      <alignment horizontal="center" vertical="center"/>
    </xf>
    <xf numFmtId="0" fontId="30" fillId="0" borderId="0" xfId="0" applyFont="1" applyAlignment="1">
      <alignment horizontal="center" vertical="center"/>
    </xf>
    <xf numFmtId="0" fontId="35" fillId="0" borderId="0" xfId="0" applyFont="1">
      <alignment vertical="center"/>
    </xf>
    <xf numFmtId="0" fontId="30" fillId="0" borderId="0" xfId="0" applyNumberFormat="1" applyFont="1">
      <alignment vertical="center"/>
    </xf>
    <xf numFmtId="0" fontId="12" fillId="0" borderId="0" xfId="0" applyNumberFormat="1" applyFont="1" applyFill="1">
      <alignment vertical="center"/>
    </xf>
    <xf numFmtId="0" fontId="30" fillId="0" borderId="0" xfId="0" applyNumberFormat="1" applyFont="1" applyFill="1">
      <alignment vertical="center"/>
    </xf>
    <xf numFmtId="0" fontId="30" fillId="14" borderId="0" xfId="0" applyFont="1" applyFill="1">
      <alignment vertical="center"/>
    </xf>
    <xf numFmtId="0" fontId="28" fillId="0" borderId="0" xfId="0" applyFont="1">
      <alignment vertical="center"/>
    </xf>
    <xf numFmtId="0" fontId="30" fillId="7" borderId="1" xfId="0" applyFont="1" applyFill="1" applyBorder="1" applyAlignment="1" applyProtection="1">
      <alignment horizontal="center" vertical="center" shrinkToFit="1"/>
      <protection locked="0"/>
    </xf>
    <xf numFmtId="0" fontId="30" fillId="7" borderId="38" xfId="0" applyFont="1" applyFill="1" applyBorder="1" applyAlignment="1" applyProtection="1">
      <alignment horizontal="center" vertical="center" shrinkToFit="1"/>
      <protection locked="0"/>
    </xf>
    <xf numFmtId="0" fontId="30" fillId="7" borderId="2" xfId="0" applyFont="1" applyFill="1" applyBorder="1" applyAlignment="1" applyProtection="1">
      <alignment horizontal="center" vertical="center" shrinkToFit="1"/>
      <protection locked="0"/>
    </xf>
    <xf numFmtId="0" fontId="14" fillId="15" borderId="6" xfId="0" applyFont="1" applyFill="1" applyBorder="1" applyAlignment="1">
      <alignment horizontal="center" vertical="center" wrapText="1"/>
    </xf>
    <xf numFmtId="0" fontId="39" fillId="0" borderId="0" xfId="0" applyFont="1" applyAlignment="1">
      <alignment horizontal="left" vertical="center"/>
    </xf>
    <xf numFmtId="0" fontId="12" fillId="18" borderId="1" xfId="0" applyFont="1" applyFill="1" applyBorder="1">
      <alignment vertical="center"/>
    </xf>
    <xf numFmtId="0" fontId="12" fillId="18" borderId="0" xfId="0" applyFont="1" applyFill="1">
      <alignment vertical="center"/>
    </xf>
    <xf numFmtId="0" fontId="40" fillId="0" borderId="0" xfId="0" applyFont="1" applyAlignment="1">
      <alignment vertical="center" shrinkToFit="1"/>
    </xf>
    <xf numFmtId="0" fontId="41" fillId="0" borderId="0" xfId="0" applyFont="1">
      <alignment vertical="center"/>
    </xf>
    <xf numFmtId="0" fontId="42" fillId="0" borderId="0" xfId="0" applyFont="1">
      <alignment vertical="center"/>
    </xf>
    <xf numFmtId="0" fontId="43" fillId="0" borderId="0" xfId="0" applyFont="1">
      <alignment vertical="center"/>
    </xf>
    <xf numFmtId="0" fontId="39" fillId="0" borderId="0" xfId="0" applyFont="1" applyAlignment="1">
      <alignment horizontal="center" vertical="center"/>
    </xf>
    <xf numFmtId="0" fontId="24" fillId="11" borderId="0" xfId="0" applyFont="1" applyFill="1" applyAlignment="1">
      <alignment horizontal="left" vertical="center"/>
    </xf>
    <xf numFmtId="0" fontId="23" fillId="4" borderId="0" xfId="0" applyFont="1" applyFill="1" applyAlignment="1">
      <alignment horizontal="left" vertical="center"/>
    </xf>
    <xf numFmtId="0" fontId="4" fillId="13" borderId="46" xfId="0" applyFont="1" applyFill="1" applyBorder="1" applyAlignment="1">
      <alignment vertical="top" wrapText="1"/>
    </xf>
    <xf numFmtId="0" fontId="4" fillId="13" borderId="19" xfId="0" applyFont="1" applyFill="1" applyBorder="1" applyAlignment="1">
      <alignment vertical="top" wrapText="1"/>
    </xf>
    <xf numFmtId="0" fontId="4" fillId="13" borderId="47" xfId="0" applyFont="1" applyFill="1" applyBorder="1" applyAlignment="1">
      <alignment vertical="top" wrapText="1"/>
    </xf>
    <xf numFmtId="0" fontId="4" fillId="13" borderId="48" xfId="0" applyFont="1" applyFill="1" applyBorder="1" applyAlignment="1">
      <alignment vertical="top" wrapText="1"/>
    </xf>
    <xf numFmtId="0" fontId="4" fillId="13" borderId="0" xfId="0" applyFont="1" applyFill="1" applyBorder="1" applyAlignment="1">
      <alignment vertical="top" wrapText="1"/>
    </xf>
    <xf numFmtId="0" fontId="4" fillId="13" borderId="49" xfId="0" applyFont="1" applyFill="1" applyBorder="1" applyAlignment="1">
      <alignment vertical="top" wrapText="1"/>
    </xf>
    <xf numFmtId="0" fontId="4" fillId="13" borderId="50" xfId="0" applyFont="1" applyFill="1" applyBorder="1" applyAlignment="1">
      <alignment vertical="top" wrapText="1"/>
    </xf>
    <xf numFmtId="0" fontId="4" fillId="13" borderId="51" xfId="0" applyFont="1" applyFill="1" applyBorder="1" applyAlignment="1">
      <alignment vertical="top" wrapText="1"/>
    </xf>
    <xf numFmtId="0" fontId="4" fillId="13" borderId="52" xfId="0" applyFont="1" applyFill="1" applyBorder="1" applyAlignment="1">
      <alignment vertical="top" wrapText="1"/>
    </xf>
    <xf numFmtId="0" fontId="30" fillId="7" borderId="37" xfId="0" applyFont="1" applyFill="1" applyBorder="1" applyAlignment="1" applyProtection="1">
      <alignment horizontal="center" vertical="center" shrinkToFit="1"/>
      <protection locked="0"/>
    </xf>
    <xf numFmtId="0" fontId="30" fillId="7" borderId="38" xfId="0" applyFont="1" applyFill="1" applyBorder="1" applyAlignment="1" applyProtection="1">
      <alignment horizontal="center" vertical="center" shrinkToFit="1"/>
      <protection locked="0"/>
    </xf>
    <xf numFmtId="0" fontId="30" fillId="7" borderId="53" xfId="0" applyFont="1" applyFill="1" applyBorder="1" applyAlignment="1" applyProtection="1">
      <alignment horizontal="center" vertical="center" shrinkToFit="1"/>
      <protection locked="0"/>
    </xf>
    <xf numFmtId="0" fontId="30" fillId="7" borderId="54" xfId="0" applyFont="1" applyFill="1" applyBorder="1" applyAlignment="1" applyProtection="1">
      <alignment horizontal="center" vertical="center" shrinkToFit="1"/>
      <protection locked="0"/>
    </xf>
    <xf numFmtId="0" fontId="30" fillId="0" borderId="28" xfId="0" applyFont="1" applyFill="1" applyBorder="1" applyAlignment="1">
      <alignment horizontal="center" vertical="center"/>
    </xf>
    <xf numFmtId="0" fontId="30" fillId="0" borderId="55" xfId="0" applyFont="1" applyFill="1" applyBorder="1" applyAlignment="1">
      <alignment horizontal="center" vertical="center"/>
    </xf>
    <xf numFmtId="0" fontId="30" fillId="0" borderId="54" xfId="0" applyFont="1" applyBorder="1" applyAlignment="1">
      <alignment horizontal="center" vertical="center"/>
    </xf>
    <xf numFmtId="0" fontId="30" fillId="0" borderId="53" xfId="0" applyFont="1" applyBorder="1" applyAlignment="1">
      <alignment horizontal="center" vertical="center"/>
    </xf>
    <xf numFmtId="0" fontId="30" fillId="5" borderId="54" xfId="0" applyFont="1" applyFill="1" applyBorder="1" applyAlignment="1">
      <alignment horizontal="center" vertical="center"/>
    </xf>
    <xf numFmtId="0" fontId="30" fillId="5" borderId="38" xfId="0" applyFont="1" applyFill="1" applyBorder="1" applyAlignment="1">
      <alignment horizontal="center" vertical="center"/>
    </xf>
    <xf numFmtId="0" fontId="30" fillId="0" borderId="56" xfId="0" applyFont="1" applyBorder="1" applyAlignment="1">
      <alignment horizontal="center" vertical="center" wrapText="1"/>
    </xf>
    <xf numFmtId="0" fontId="30" fillId="0" borderId="45" xfId="0" applyFont="1" applyBorder="1" applyAlignment="1">
      <alignment horizontal="center" vertical="center" wrapText="1"/>
    </xf>
    <xf numFmtId="0" fontId="30" fillId="7" borderId="57" xfId="0" applyNumberFormat="1" applyFont="1" applyFill="1" applyBorder="1" applyAlignment="1" applyProtection="1">
      <alignment horizontal="center" vertical="center"/>
      <protection locked="0"/>
    </xf>
    <xf numFmtId="0" fontId="30" fillId="7" borderId="58" xfId="0" applyNumberFormat="1" applyFont="1" applyFill="1" applyBorder="1" applyAlignment="1" applyProtection="1">
      <alignment horizontal="center" vertical="center"/>
      <protection locked="0"/>
    </xf>
    <xf numFmtId="0" fontId="30" fillId="0" borderId="11" xfId="0" applyFont="1" applyBorder="1" applyAlignment="1">
      <alignment horizontal="center" vertical="center" wrapText="1"/>
    </xf>
    <xf numFmtId="0" fontId="30" fillId="0" borderId="7" xfId="0" applyFont="1" applyBorder="1" applyAlignment="1">
      <alignment horizontal="center" vertical="center"/>
    </xf>
    <xf numFmtId="0" fontId="30" fillId="5" borderId="4" xfId="0" applyFont="1" applyFill="1" applyBorder="1" applyAlignment="1">
      <alignment horizontal="center" vertical="center"/>
    </xf>
    <xf numFmtId="0" fontId="30" fillId="5" borderId="11" xfId="0" applyFont="1" applyFill="1" applyBorder="1" applyAlignment="1">
      <alignment horizontal="center" vertical="center"/>
    </xf>
    <xf numFmtId="0" fontId="30" fillId="7" borderId="1" xfId="0" applyFont="1" applyFill="1" applyBorder="1" applyAlignment="1" applyProtection="1">
      <alignment horizontal="center" vertical="center" shrinkToFit="1"/>
      <protection locked="0"/>
    </xf>
    <xf numFmtId="0" fontId="6" fillId="5" borderId="5" xfId="0" applyFont="1" applyFill="1" applyBorder="1" applyAlignment="1">
      <alignment horizontal="center" vertical="center"/>
    </xf>
    <xf numFmtId="0" fontId="6" fillId="5" borderId="1" xfId="0" applyFont="1" applyFill="1" applyBorder="1" applyAlignment="1">
      <alignment horizontal="center" vertical="center"/>
    </xf>
    <xf numFmtId="0" fontId="30" fillId="5" borderId="5" xfId="0" applyFont="1" applyFill="1" applyBorder="1" applyAlignment="1">
      <alignment horizontal="center" vertical="center"/>
    </xf>
    <xf numFmtId="0" fontId="30" fillId="5" borderId="1" xfId="0" applyFont="1" applyFill="1" applyBorder="1" applyAlignment="1">
      <alignment horizontal="center" vertical="center"/>
    </xf>
    <xf numFmtId="0" fontId="30" fillId="0" borderId="0" xfId="0" applyFont="1" applyAlignment="1">
      <alignment horizontal="center" vertical="center"/>
    </xf>
    <xf numFmtId="0" fontId="6" fillId="0" borderId="4" xfId="0" applyFont="1" applyBorder="1" applyAlignment="1">
      <alignment horizontal="center" vertical="center" wrapText="1"/>
    </xf>
    <xf numFmtId="0" fontId="6" fillId="0" borderId="6" xfId="0" applyFont="1" applyBorder="1" applyAlignment="1">
      <alignment horizontal="center" vertical="center"/>
    </xf>
    <xf numFmtId="0" fontId="36" fillId="0" borderId="59" xfId="0" applyFont="1" applyFill="1" applyBorder="1" applyAlignment="1">
      <alignment horizontal="center" vertical="center"/>
    </xf>
    <xf numFmtId="0" fontId="30" fillId="0" borderId="60" xfId="0" applyFont="1" applyFill="1" applyBorder="1" applyAlignment="1" applyProtection="1">
      <alignment horizontal="center" vertical="center" wrapText="1"/>
    </xf>
    <xf numFmtId="0" fontId="30" fillId="0" borderId="55" xfId="0" applyFont="1" applyFill="1" applyBorder="1" applyAlignment="1" applyProtection="1">
      <alignment horizontal="center" vertical="center" wrapText="1"/>
    </xf>
    <xf numFmtId="0" fontId="30" fillId="0" borderId="60" xfId="0" applyFont="1" applyFill="1" applyBorder="1" applyAlignment="1">
      <alignment horizontal="center" vertical="center" wrapText="1"/>
    </xf>
    <xf numFmtId="0" fontId="30" fillId="0" borderId="61" xfId="0" applyFont="1" applyFill="1" applyBorder="1" applyAlignment="1" applyProtection="1">
      <alignment horizontal="center" vertical="center" wrapText="1"/>
    </xf>
    <xf numFmtId="0" fontId="30" fillId="0" borderId="62" xfId="0" applyFont="1" applyFill="1" applyBorder="1" applyAlignment="1" applyProtection="1">
      <alignment horizontal="center" vertical="center"/>
    </xf>
    <xf numFmtId="0" fontId="30" fillId="0" borderId="5" xfId="0" applyFont="1" applyBorder="1" applyAlignment="1">
      <alignment horizontal="center" vertical="center"/>
    </xf>
    <xf numFmtId="0" fontId="30" fillId="0" borderId="6" xfId="0" applyFont="1" applyBorder="1" applyAlignment="1">
      <alignment horizontal="center" vertical="center"/>
    </xf>
    <xf numFmtId="0" fontId="30" fillId="0" borderId="5" xfId="0" applyFont="1" applyBorder="1" applyAlignment="1">
      <alignment horizontal="center" vertical="center" wrapText="1"/>
    </xf>
    <xf numFmtId="0" fontId="30" fillId="0" borderId="2" xfId="0" applyFont="1" applyBorder="1" applyAlignment="1">
      <alignment horizontal="center" vertical="center"/>
    </xf>
    <xf numFmtId="49" fontId="30" fillId="7" borderId="57" xfId="0" applyNumberFormat="1" applyFont="1" applyFill="1" applyBorder="1" applyAlignment="1" applyProtection="1">
      <alignment horizontal="center" vertical="center"/>
      <protection locked="0"/>
    </xf>
    <xf numFmtId="49" fontId="30" fillId="7" borderId="63" xfId="0" applyNumberFormat="1" applyFont="1" applyFill="1" applyBorder="1" applyAlignment="1" applyProtection="1">
      <alignment horizontal="center" vertical="center"/>
      <protection locked="0"/>
    </xf>
    <xf numFmtId="0" fontId="30" fillId="0" borderId="2" xfId="0" applyFont="1" applyFill="1" applyBorder="1" applyAlignment="1">
      <alignment horizontal="center" vertical="center" wrapText="1"/>
    </xf>
    <xf numFmtId="0" fontId="30" fillId="0" borderId="2" xfId="0" applyFont="1" applyFill="1" applyBorder="1" applyAlignment="1">
      <alignment horizontal="center" vertical="center"/>
    </xf>
    <xf numFmtId="0" fontId="30" fillId="0" borderId="8" xfId="0" applyFont="1" applyFill="1" applyBorder="1" applyAlignment="1">
      <alignment horizontal="center" vertical="center"/>
    </xf>
    <xf numFmtId="49" fontId="30" fillId="7" borderId="64" xfId="0" applyNumberFormat="1" applyFont="1" applyFill="1" applyBorder="1" applyAlignment="1" applyProtection="1">
      <alignment horizontal="left" vertical="center"/>
      <protection locked="0"/>
    </xf>
    <xf numFmtId="49" fontId="30" fillId="7" borderId="58" xfId="0" applyNumberFormat="1" applyFont="1" applyFill="1" applyBorder="1" applyAlignment="1" applyProtection="1">
      <alignment horizontal="left" vertical="center"/>
      <protection locked="0"/>
    </xf>
    <xf numFmtId="49" fontId="30" fillId="7" borderId="63" xfId="0" applyNumberFormat="1" applyFont="1" applyFill="1" applyBorder="1" applyAlignment="1" applyProtection="1">
      <alignment horizontal="left" vertical="center"/>
      <protection locked="0"/>
    </xf>
    <xf numFmtId="49" fontId="30" fillId="7" borderId="2" xfId="0" applyNumberFormat="1" applyFont="1" applyFill="1" applyBorder="1" applyAlignment="1" applyProtection="1">
      <alignment horizontal="left" vertical="center"/>
      <protection locked="0"/>
    </xf>
    <xf numFmtId="49" fontId="30" fillId="7" borderId="8" xfId="0" applyNumberFormat="1" applyFont="1" applyFill="1" applyBorder="1" applyAlignment="1" applyProtection="1">
      <alignment horizontal="left" vertical="center"/>
      <protection locked="0"/>
    </xf>
    <xf numFmtId="49" fontId="30" fillId="7" borderId="57" xfId="0" applyNumberFormat="1" applyFont="1" applyFill="1" applyBorder="1" applyAlignment="1" applyProtection="1">
      <alignment horizontal="left" vertical="center"/>
      <protection locked="0"/>
    </xf>
    <xf numFmtId="49" fontId="30" fillId="7" borderId="65" xfId="0" applyNumberFormat="1" applyFont="1" applyFill="1" applyBorder="1" applyAlignment="1" applyProtection="1">
      <alignment horizontal="left" vertical="center"/>
      <protection locked="0"/>
    </xf>
    <xf numFmtId="0" fontId="30" fillId="16" borderId="57" xfId="0" applyNumberFormat="1" applyFont="1" applyFill="1" applyBorder="1" applyAlignment="1" applyProtection="1">
      <alignment horizontal="center" vertical="center"/>
      <protection locked="0"/>
    </xf>
    <xf numFmtId="0" fontId="30" fillId="16" borderId="65" xfId="0" applyNumberFormat="1" applyFont="1" applyFill="1" applyBorder="1" applyAlignment="1" applyProtection="1">
      <alignment horizontal="center" vertical="center"/>
      <protection locked="0"/>
    </xf>
    <xf numFmtId="49" fontId="30" fillId="7" borderId="44" xfId="0" applyNumberFormat="1" applyFont="1" applyFill="1" applyBorder="1" applyAlignment="1" applyProtection="1">
      <alignment horizontal="center" vertical="center"/>
      <protection locked="0"/>
    </xf>
    <xf numFmtId="49" fontId="30" fillId="7" borderId="14" xfId="0" applyNumberFormat="1" applyFont="1" applyFill="1" applyBorder="1" applyAlignment="1" applyProtection="1">
      <alignment horizontal="center" vertical="center"/>
      <protection locked="0"/>
    </xf>
    <xf numFmtId="0" fontId="30" fillId="0" borderId="4" xfId="0" applyFont="1" applyBorder="1" applyAlignment="1">
      <alignment horizontal="center" vertical="center"/>
    </xf>
    <xf numFmtId="0" fontId="38" fillId="17" borderId="68" xfId="0" applyFont="1" applyFill="1" applyBorder="1" applyAlignment="1">
      <alignment horizontal="center" vertical="center" wrapText="1"/>
    </xf>
    <xf numFmtId="0" fontId="38" fillId="17" borderId="69" xfId="0" applyFont="1" applyFill="1" applyBorder="1" applyAlignment="1">
      <alignment horizontal="center" vertical="center"/>
    </xf>
    <xf numFmtId="0" fontId="38" fillId="17" borderId="70" xfId="0" applyFont="1" applyFill="1" applyBorder="1" applyAlignment="1">
      <alignment horizontal="center" vertical="center"/>
    </xf>
    <xf numFmtId="0" fontId="6" fillId="16" borderId="68" xfId="0" applyFont="1" applyFill="1" applyBorder="1" applyAlignment="1" applyProtection="1">
      <alignment vertical="center" shrinkToFit="1"/>
      <protection locked="0"/>
    </xf>
    <xf numFmtId="0" fontId="6" fillId="16" borderId="69" xfId="0" applyFont="1" applyFill="1" applyBorder="1" applyAlignment="1" applyProtection="1">
      <alignment vertical="center" shrinkToFit="1"/>
      <protection locked="0"/>
    </xf>
    <xf numFmtId="0" fontId="6" fillId="16" borderId="70" xfId="0" applyFont="1" applyFill="1" applyBorder="1" applyAlignment="1" applyProtection="1">
      <alignment vertical="center" shrinkToFit="1"/>
      <protection locked="0"/>
    </xf>
    <xf numFmtId="0" fontId="30" fillId="0" borderId="7" xfId="0" applyFont="1" applyBorder="1" applyAlignment="1">
      <alignment horizontal="center" vertical="center" wrapText="1"/>
    </xf>
    <xf numFmtId="0" fontId="30" fillId="0" borderId="66" xfId="0" applyFont="1" applyBorder="1" applyAlignment="1">
      <alignment horizontal="center" vertical="center" wrapText="1"/>
    </xf>
    <xf numFmtId="0" fontId="30" fillId="7" borderId="2" xfId="0" applyFont="1" applyFill="1" applyBorder="1" applyAlignment="1" applyProtection="1">
      <alignment horizontal="center" vertical="center" shrinkToFit="1"/>
      <protection locked="0"/>
    </xf>
    <xf numFmtId="0" fontId="30" fillId="0" borderId="4" xfId="0" applyFont="1" applyBorder="1" applyAlignment="1">
      <alignment horizontal="center" vertical="center" wrapText="1"/>
    </xf>
    <xf numFmtId="0" fontId="30" fillId="0" borderId="67" xfId="0" applyFont="1" applyBorder="1" applyAlignment="1">
      <alignment horizontal="center" vertical="center" wrapText="1"/>
    </xf>
    <xf numFmtId="0" fontId="4" fillId="13" borderId="46" xfId="0" applyFont="1" applyFill="1" applyBorder="1" applyAlignment="1">
      <alignment horizontal="left" vertical="top" wrapText="1"/>
    </xf>
    <xf numFmtId="0" fontId="4" fillId="13" borderId="19" xfId="0" applyFont="1" applyFill="1" applyBorder="1" applyAlignment="1">
      <alignment horizontal="left" vertical="top" wrapText="1"/>
    </xf>
    <xf numFmtId="0" fontId="4" fillId="13" borderId="47" xfId="0" applyFont="1" applyFill="1" applyBorder="1" applyAlignment="1">
      <alignment horizontal="left" vertical="top" wrapText="1"/>
    </xf>
    <xf numFmtId="0" fontId="4" fillId="13" borderId="48" xfId="0" applyFont="1" applyFill="1" applyBorder="1" applyAlignment="1">
      <alignment horizontal="left" vertical="top" wrapText="1"/>
    </xf>
    <xf numFmtId="0" fontId="4" fillId="13" borderId="0" xfId="0" applyFont="1" applyFill="1" applyBorder="1" applyAlignment="1">
      <alignment horizontal="left" vertical="top" wrapText="1"/>
    </xf>
    <xf numFmtId="0" fontId="4" fillId="13" borderId="49" xfId="0" applyFont="1" applyFill="1" applyBorder="1" applyAlignment="1">
      <alignment horizontal="left" vertical="top" wrapText="1"/>
    </xf>
    <xf numFmtId="0" fontId="4" fillId="13" borderId="50" xfId="0" applyFont="1" applyFill="1" applyBorder="1" applyAlignment="1">
      <alignment horizontal="left" vertical="top" wrapText="1"/>
    </xf>
    <xf numFmtId="0" fontId="4" fillId="13" borderId="51" xfId="0" applyFont="1" applyFill="1" applyBorder="1" applyAlignment="1">
      <alignment horizontal="left" vertical="top" wrapText="1"/>
    </xf>
    <xf numFmtId="0" fontId="4" fillId="13" borderId="52" xfId="0" applyFont="1" applyFill="1" applyBorder="1" applyAlignment="1">
      <alignment horizontal="left" vertical="top" wrapText="1"/>
    </xf>
  </cellXfs>
  <cellStyles count="2">
    <cellStyle name="標準" xfId="0" builtinId="0"/>
    <cellStyle name="標準 2" xfId="1"/>
  </cellStyles>
  <dxfs count="140">
    <dxf>
      <font>
        <b/>
        <i val="0"/>
        <color rgb="FFFF0000"/>
      </font>
      <fill>
        <patternFill patternType="none">
          <bgColor indexed="65"/>
        </patternFill>
      </fill>
    </dxf>
    <dxf>
      <font>
        <b/>
        <i val="0"/>
        <color rgb="FFFF0000"/>
      </font>
      <fill>
        <patternFill patternType="none">
          <bgColor indexed="65"/>
        </patternFill>
      </fill>
    </dxf>
    <dxf>
      <font>
        <condense val="0"/>
        <extend val="0"/>
        <color indexed="9"/>
      </font>
      <fill>
        <patternFill>
          <bgColor indexed="10"/>
        </patternFill>
      </fill>
    </dxf>
    <dxf>
      <font>
        <b/>
        <i val="0"/>
        <color rgb="FFFF0000"/>
      </font>
      <fill>
        <patternFill patternType="none">
          <bgColor indexed="65"/>
        </patternFill>
      </fill>
    </dxf>
    <dxf>
      <font>
        <b/>
        <i val="0"/>
        <color rgb="FFFF0000"/>
      </font>
      <fill>
        <patternFill patternType="none">
          <bgColor indexed="65"/>
        </patternFill>
      </fill>
    </dxf>
    <dxf>
      <font>
        <condense val="0"/>
        <extend val="0"/>
        <color indexed="9"/>
      </font>
      <fill>
        <patternFill>
          <bgColor indexed="10"/>
        </patternFill>
      </fill>
    </dxf>
    <dxf>
      <font>
        <b/>
        <i val="0"/>
        <color rgb="FFFF0000"/>
      </font>
      <fill>
        <patternFill patternType="none">
          <bgColor indexed="65"/>
        </patternFill>
      </fill>
    </dxf>
    <dxf>
      <font>
        <b/>
        <i val="0"/>
        <color rgb="FFFF0000"/>
      </font>
      <fill>
        <patternFill patternType="none">
          <bgColor indexed="65"/>
        </patternFill>
      </fill>
    </dxf>
    <dxf>
      <font>
        <condense val="0"/>
        <extend val="0"/>
        <color indexed="9"/>
      </font>
      <fill>
        <patternFill>
          <bgColor indexed="10"/>
        </patternFill>
      </fill>
    </dxf>
    <dxf>
      <font>
        <b/>
        <i val="0"/>
        <color rgb="FFFF0000"/>
      </font>
      <fill>
        <patternFill patternType="none">
          <bgColor indexed="65"/>
        </patternFill>
      </fill>
    </dxf>
    <dxf>
      <font>
        <b/>
        <i val="0"/>
        <color rgb="FFFF0000"/>
      </font>
      <fill>
        <patternFill patternType="none">
          <bgColor indexed="65"/>
        </patternFill>
      </fill>
    </dxf>
    <dxf>
      <font>
        <condense val="0"/>
        <extend val="0"/>
        <color indexed="9"/>
      </font>
      <fill>
        <patternFill>
          <bgColor indexed="10"/>
        </patternFill>
      </fill>
    </dxf>
    <dxf>
      <font>
        <b/>
        <i val="0"/>
        <color rgb="FFFF0000"/>
      </font>
      <fill>
        <patternFill patternType="none">
          <bgColor indexed="65"/>
        </patternFill>
      </fill>
    </dxf>
    <dxf>
      <font>
        <b/>
        <i val="0"/>
        <color rgb="FFFF0000"/>
      </font>
      <fill>
        <patternFill patternType="none">
          <bgColor indexed="65"/>
        </patternFill>
      </fill>
    </dxf>
    <dxf>
      <font>
        <condense val="0"/>
        <extend val="0"/>
        <color indexed="9"/>
      </font>
      <fill>
        <patternFill>
          <bgColor indexed="10"/>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condense val="0"/>
        <extend val="0"/>
        <color indexed="9"/>
      </font>
      <fill>
        <patternFill>
          <bgColor indexed="10"/>
        </patternFill>
      </fill>
    </dxf>
    <dxf>
      <font>
        <b/>
        <i val="0"/>
        <color rgb="FFFF0000"/>
      </font>
      <fill>
        <patternFill patternType="none">
          <bgColor indexed="65"/>
        </patternFill>
      </fill>
    </dxf>
    <dxf>
      <font>
        <b/>
        <i val="0"/>
        <color rgb="FFFF0000"/>
      </font>
      <fill>
        <patternFill patternType="none">
          <bgColor indexed="65"/>
        </patternFill>
      </fill>
    </dxf>
    <dxf>
      <font>
        <condense val="0"/>
        <extend val="0"/>
        <color indexed="9"/>
      </font>
      <fill>
        <patternFill>
          <bgColor indexed="10"/>
        </patternFill>
      </fill>
    </dxf>
    <dxf>
      <font>
        <condense val="0"/>
        <extend val="0"/>
        <color indexed="9"/>
      </font>
      <fill>
        <patternFill>
          <bgColor indexed="10"/>
        </patternFill>
      </fill>
    </dxf>
    <dxf>
      <fill>
        <patternFill>
          <bgColor indexed="27"/>
        </patternFill>
      </fill>
    </dxf>
    <dxf>
      <fill>
        <patternFill>
          <bgColor rgb="FFFFCCFF"/>
        </patternFill>
      </fill>
    </dxf>
    <dxf>
      <fill>
        <patternFill>
          <bgColor indexed="41"/>
        </patternFill>
      </fill>
    </dxf>
    <dxf>
      <fill>
        <patternFill>
          <bgColor rgb="FFFFCCFF"/>
        </patternFill>
      </fill>
    </dxf>
    <dxf>
      <fill>
        <patternFill>
          <bgColor indexed="10"/>
        </patternFill>
      </fill>
    </dxf>
    <dxf>
      <fill>
        <patternFill>
          <bgColor indexed="41"/>
        </patternFill>
      </fill>
    </dxf>
    <dxf>
      <fill>
        <patternFill>
          <bgColor rgb="FFFFCCFF"/>
        </patternFill>
      </fill>
    </dxf>
    <dxf>
      <fill>
        <patternFill>
          <bgColor indexed="41"/>
        </patternFill>
      </fill>
    </dxf>
    <dxf>
      <fill>
        <patternFill>
          <bgColor rgb="FFFFCCFF"/>
        </patternFill>
      </fill>
    </dxf>
    <dxf>
      <fill>
        <patternFill>
          <bgColor indexed="10"/>
        </patternFill>
      </fill>
    </dxf>
    <dxf>
      <fill>
        <patternFill>
          <bgColor indexed="41"/>
        </patternFill>
      </fill>
    </dxf>
    <dxf>
      <fill>
        <patternFill>
          <bgColor rgb="FFFFCCFF"/>
        </patternFill>
      </fill>
    </dxf>
    <dxf>
      <fill>
        <patternFill>
          <bgColor indexed="41"/>
        </patternFill>
      </fill>
    </dxf>
    <dxf>
      <fill>
        <patternFill>
          <bgColor rgb="FFFFCCFF"/>
        </patternFill>
      </fill>
    </dxf>
    <dxf>
      <fill>
        <patternFill>
          <bgColor indexed="41"/>
        </patternFill>
      </fill>
    </dxf>
    <dxf>
      <fill>
        <patternFill>
          <bgColor rgb="FFFFCCFF"/>
        </patternFill>
      </fill>
    </dxf>
    <dxf>
      <fill>
        <patternFill>
          <bgColor rgb="FFCC0000"/>
        </patternFill>
      </fill>
    </dxf>
    <dxf>
      <fill>
        <patternFill>
          <bgColor indexed="41"/>
        </patternFill>
      </fill>
    </dxf>
    <dxf>
      <fill>
        <patternFill>
          <bgColor rgb="FFFFCCFF"/>
        </patternFill>
      </fill>
    </dxf>
    <dxf>
      <fill>
        <patternFill>
          <bgColor indexed="41"/>
        </patternFill>
      </fill>
    </dxf>
    <dxf>
      <fill>
        <patternFill>
          <bgColor rgb="FFFFCCFF"/>
        </patternFill>
      </fill>
    </dxf>
    <dxf>
      <fill>
        <patternFill>
          <bgColor indexed="27"/>
        </patternFill>
      </fill>
    </dxf>
    <dxf>
      <fill>
        <patternFill>
          <bgColor rgb="FFFFCCFF"/>
        </patternFill>
      </fill>
    </dxf>
    <dxf>
      <fill>
        <patternFill>
          <bgColor indexed="27"/>
        </patternFill>
      </fill>
    </dxf>
    <dxf>
      <fill>
        <patternFill>
          <bgColor rgb="FFFFCCFF"/>
        </patternFill>
      </fill>
    </dxf>
    <dxf>
      <fill>
        <patternFill>
          <bgColor indexed="41"/>
        </patternFill>
      </fill>
    </dxf>
    <dxf>
      <fill>
        <patternFill>
          <bgColor rgb="FFFFCCFF"/>
        </patternFill>
      </fill>
    </dxf>
    <dxf>
      <fill>
        <patternFill>
          <bgColor indexed="10"/>
        </patternFill>
      </fill>
    </dxf>
    <dxf>
      <fill>
        <patternFill>
          <bgColor indexed="41"/>
        </patternFill>
      </fill>
    </dxf>
    <dxf>
      <fill>
        <patternFill>
          <bgColor rgb="FFFFCCFF"/>
        </patternFill>
      </fill>
    </dxf>
    <dxf>
      <fill>
        <patternFill>
          <bgColor indexed="41"/>
        </patternFill>
      </fill>
    </dxf>
    <dxf>
      <fill>
        <patternFill>
          <bgColor rgb="FFFFCCFF"/>
        </patternFill>
      </fill>
    </dxf>
    <dxf>
      <fill>
        <patternFill>
          <bgColor indexed="10"/>
        </patternFill>
      </fill>
    </dxf>
    <dxf>
      <fill>
        <patternFill>
          <bgColor indexed="41"/>
        </patternFill>
      </fill>
    </dxf>
    <dxf>
      <fill>
        <patternFill>
          <bgColor rgb="FFFFCCFF"/>
        </patternFill>
      </fill>
    </dxf>
    <dxf>
      <fill>
        <patternFill>
          <bgColor indexed="41"/>
        </patternFill>
      </fill>
    </dxf>
    <dxf>
      <fill>
        <patternFill>
          <bgColor rgb="FFFFCCFF"/>
        </patternFill>
      </fill>
    </dxf>
    <dxf>
      <fill>
        <patternFill>
          <bgColor indexed="41"/>
        </patternFill>
      </fill>
    </dxf>
    <dxf>
      <fill>
        <patternFill>
          <bgColor rgb="FFFFCCFF"/>
        </patternFill>
      </fill>
    </dxf>
    <dxf>
      <fill>
        <patternFill>
          <bgColor indexed="41"/>
        </patternFill>
      </fill>
    </dxf>
    <dxf>
      <fill>
        <patternFill>
          <bgColor rgb="FFFFCCFF"/>
        </patternFill>
      </fill>
    </dxf>
    <dxf>
      <fill>
        <patternFill>
          <bgColor indexed="10"/>
        </patternFill>
      </fill>
    </dxf>
    <dxf>
      <fill>
        <patternFill>
          <bgColor indexed="41"/>
        </patternFill>
      </fill>
    </dxf>
    <dxf>
      <fill>
        <patternFill>
          <bgColor rgb="FFFFCCFF"/>
        </patternFill>
      </fill>
    </dxf>
    <dxf>
      <fill>
        <patternFill>
          <bgColor indexed="41"/>
        </patternFill>
      </fill>
    </dxf>
    <dxf>
      <fill>
        <patternFill>
          <bgColor rgb="FFFFCCFF"/>
        </patternFill>
      </fill>
    </dxf>
    <dxf>
      <fill>
        <patternFill>
          <bgColor indexed="10"/>
        </patternFill>
      </fill>
    </dxf>
    <dxf>
      <fill>
        <patternFill>
          <bgColor indexed="41"/>
        </patternFill>
      </fill>
    </dxf>
    <dxf>
      <fill>
        <patternFill>
          <bgColor rgb="FFFFCCFF"/>
        </patternFill>
      </fill>
    </dxf>
    <dxf>
      <fill>
        <patternFill>
          <bgColor indexed="41"/>
        </patternFill>
      </fill>
    </dxf>
    <dxf>
      <fill>
        <patternFill>
          <bgColor rgb="FFFFCCFF"/>
        </patternFill>
      </fill>
    </dxf>
    <dxf>
      <fill>
        <patternFill>
          <bgColor indexed="41"/>
        </patternFill>
      </fill>
    </dxf>
    <dxf>
      <fill>
        <patternFill>
          <bgColor rgb="FFFFCCFF"/>
        </patternFill>
      </fill>
    </dxf>
    <dxf>
      <fill>
        <patternFill>
          <bgColor rgb="FFCC0000"/>
        </patternFill>
      </fill>
    </dxf>
    <dxf>
      <fill>
        <patternFill>
          <bgColor rgb="FFCC000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ill>
        <patternFill>
          <bgColor indexed="41"/>
        </patternFill>
      </fill>
    </dxf>
    <dxf>
      <fill>
        <patternFill>
          <bgColor rgb="FFFFCCFF"/>
        </patternFill>
      </fill>
    </dxf>
    <dxf>
      <fill>
        <patternFill>
          <bgColor indexed="10"/>
        </patternFill>
      </fill>
    </dxf>
    <dxf>
      <fill>
        <patternFill>
          <bgColor indexed="41"/>
        </patternFill>
      </fill>
    </dxf>
    <dxf>
      <fill>
        <patternFill>
          <bgColor rgb="FFFFCCFF"/>
        </patternFill>
      </fill>
    </dxf>
    <dxf>
      <fill>
        <patternFill>
          <bgColor indexed="41"/>
        </patternFill>
      </fill>
    </dxf>
    <dxf>
      <fill>
        <patternFill>
          <bgColor rgb="FFFFCCFF"/>
        </patternFill>
      </fill>
    </dxf>
    <dxf>
      <fill>
        <patternFill>
          <bgColor indexed="10"/>
        </patternFill>
      </fill>
    </dxf>
    <dxf>
      <fill>
        <patternFill>
          <bgColor indexed="41"/>
        </patternFill>
      </fill>
    </dxf>
    <dxf>
      <fill>
        <patternFill>
          <bgColor rgb="FFFFCCFF"/>
        </patternFill>
      </fill>
    </dxf>
    <dxf>
      <fill>
        <patternFill>
          <bgColor indexed="41"/>
        </patternFill>
      </fill>
    </dxf>
    <dxf>
      <fill>
        <patternFill>
          <bgColor rgb="FFFFCCFF"/>
        </patternFill>
      </fill>
    </dxf>
    <dxf>
      <fill>
        <patternFill>
          <bgColor indexed="41"/>
        </patternFill>
      </fill>
    </dxf>
    <dxf>
      <fill>
        <patternFill>
          <bgColor rgb="FFFFCCFF"/>
        </patternFill>
      </fill>
    </dxf>
    <dxf>
      <fill>
        <patternFill>
          <bgColor indexed="27"/>
        </patternFill>
      </fill>
    </dxf>
    <dxf>
      <fill>
        <patternFill>
          <bgColor rgb="FFFFCCFF"/>
        </patternFill>
      </fill>
    </dxf>
    <dxf>
      <font>
        <b/>
        <i val="0"/>
        <color theme="0"/>
      </font>
      <fill>
        <patternFill>
          <bgColor rgb="FFFF0000"/>
        </patternFill>
      </fill>
    </dxf>
    <dxf>
      <font>
        <b/>
        <i val="0"/>
        <color theme="0"/>
      </font>
      <fill>
        <patternFill patternType="solid">
          <bgColor rgb="FFFF0000"/>
        </patternFill>
      </fill>
    </dxf>
    <dxf>
      <font>
        <color theme="0"/>
      </font>
      <fill>
        <patternFill>
          <bgColor theme="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24994659260841701"/>
        </patternFill>
      </fill>
    </dxf>
    <dxf>
      <fill>
        <patternFill>
          <bgColor theme="0" tint="-0.24994659260841701"/>
        </patternFill>
      </fill>
    </dxf>
    <dxf>
      <fill>
        <patternFill>
          <bgColor indexed="41"/>
        </patternFill>
      </fill>
    </dxf>
    <dxf>
      <fill>
        <patternFill>
          <bgColor rgb="FFFFCCFF"/>
        </patternFill>
      </fill>
    </dxf>
    <dxf>
      <fill>
        <patternFill>
          <bgColor indexed="41"/>
        </patternFill>
      </fill>
    </dxf>
    <dxf>
      <fill>
        <patternFill>
          <bgColor rgb="FFFFCCFF"/>
        </patternFill>
      </fill>
    </dxf>
    <dxf>
      <fill>
        <patternFill>
          <bgColor rgb="FFFF0000"/>
        </patternFill>
      </fill>
    </dxf>
    <dxf>
      <fill>
        <patternFill>
          <bgColor indexed="27"/>
        </patternFill>
      </fill>
    </dxf>
    <dxf>
      <fill>
        <patternFill>
          <bgColor rgb="FFFFCCFF"/>
        </patternFill>
      </fill>
    </dxf>
    <dxf>
      <font>
        <condense val="0"/>
        <extend val="0"/>
        <color indexed="9"/>
      </font>
      <fill>
        <patternFill>
          <bgColor indexed="10"/>
        </patternFill>
      </fill>
    </dxf>
    <dxf>
      <fill>
        <patternFill>
          <bgColor rgb="FFCC0000"/>
        </patternFill>
      </fill>
    </dxf>
    <dxf>
      <fill>
        <patternFill>
          <bgColor indexed="10"/>
        </patternFill>
      </fill>
    </dxf>
    <dxf>
      <fill>
        <patternFill>
          <bgColor rgb="FFFFC7CE"/>
        </patternFill>
      </fill>
    </dxf>
    <dxf>
      <fill>
        <patternFill>
          <bgColor rgb="FFFF0000"/>
        </patternFill>
      </fill>
    </dxf>
    <dxf>
      <fill>
        <patternFill>
          <bgColor rgb="FFFFC7CE"/>
        </patternFill>
      </fill>
    </dxf>
    <dxf>
      <font>
        <b/>
        <i val="0"/>
      </font>
      <fill>
        <patternFill>
          <bgColor rgb="FFFFFF00"/>
        </patternFill>
      </fill>
    </dxf>
    <dxf>
      <fill>
        <patternFill>
          <bgColor rgb="FFFFC7CE"/>
        </patternFill>
      </fill>
    </dxf>
    <dxf>
      <font>
        <b/>
        <i val="0"/>
      </font>
      <fill>
        <patternFill>
          <bgColor rgb="FFFFFF00"/>
        </patternFill>
      </fill>
    </dxf>
    <dxf>
      <font>
        <b/>
        <i val="0"/>
      </font>
      <fill>
        <patternFill>
          <bgColor rgb="FFFF0000"/>
        </patternFill>
      </fill>
    </dxf>
    <dxf>
      <fill>
        <patternFill>
          <bgColor indexed="41"/>
        </patternFill>
      </fill>
    </dxf>
    <dxf>
      <fill>
        <patternFill>
          <bgColor rgb="FFFFCCFF"/>
        </patternFill>
      </fill>
    </dxf>
    <dxf>
      <fill>
        <patternFill>
          <bgColor indexed="41"/>
        </patternFill>
      </fill>
    </dxf>
    <dxf>
      <fill>
        <patternFill>
          <bgColor rgb="FFFFCCFF"/>
        </patternFill>
      </fill>
    </dxf>
    <dxf>
      <fill>
        <patternFill>
          <bgColor indexed="27"/>
        </patternFill>
      </fill>
    </dxf>
    <dxf>
      <fill>
        <patternFill>
          <bgColor rgb="FFFFCCFF"/>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F83"/>
  <sheetViews>
    <sheetView showGridLines="0" tabSelected="1" topLeftCell="A73" zoomScale="124" zoomScaleNormal="124" workbookViewId="0">
      <selection activeCell="D24" sqref="D24"/>
    </sheetView>
  </sheetViews>
  <sheetFormatPr defaultColWidth="9" defaultRowHeight="15.75" x14ac:dyDescent="0.15"/>
  <cols>
    <col min="1" max="1" width="3.875" style="116" customWidth="1"/>
    <col min="2" max="3" width="4.375" style="116" customWidth="1"/>
    <col min="4" max="4" width="97.75" style="116" customWidth="1"/>
    <col min="5" max="6" width="4.375" style="116" customWidth="1"/>
    <col min="7" max="7" width="3" style="1" customWidth="1"/>
    <col min="8" max="16384" width="9" style="1"/>
  </cols>
  <sheetData>
    <row r="1" spans="1:6" ht="21" x14ac:dyDescent="0.15">
      <c r="B1" s="162" t="s">
        <v>80</v>
      </c>
      <c r="C1" s="162"/>
      <c r="D1" s="162"/>
      <c r="E1" s="162"/>
      <c r="F1" s="117"/>
    </row>
    <row r="2" spans="1:6" s="44" customFormat="1" ht="24" x14ac:dyDescent="0.15">
      <c r="A2" s="120"/>
      <c r="B2" s="118"/>
      <c r="C2" s="118"/>
      <c r="D2" s="119" t="s">
        <v>81</v>
      </c>
      <c r="E2" s="118"/>
      <c r="F2" s="118"/>
    </row>
    <row r="3" spans="1:6" s="44" customFormat="1" ht="24" x14ac:dyDescent="0.15">
      <c r="A3" s="120"/>
      <c r="B3" s="118"/>
      <c r="C3" s="118"/>
      <c r="D3" s="119" t="s">
        <v>73</v>
      </c>
      <c r="E3" s="118"/>
      <c r="F3" s="118"/>
    </row>
    <row r="4" spans="1:6" s="44" customFormat="1" ht="24" x14ac:dyDescent="0.15">
      <c r="A4" s="120"/>
      <c r="B4" s="118"/>
      <c r="C4" s="118"/>
      <c r="D4" s="119" t="s">
        <v>177</v>
      </c>
      <c r="E4" s="118"/>
      <c r="F4" s="118"/>
    </row>
    <row r="5" spans="1:6" x14ac:dyDescent="0.15">
      <c r="C5" s="163" t="s">
        <v>82</v>
      </c>
      <c r="D5" s="163"/>
      <c r="E5" s="163"/>
      <c r="F5" s="121"/>
    </row>
    <row r="6" spans="1:6" x14ac:dyDescent="0.15">
      <c r="D6" s="116" t="s">
        <v>29</v>
      </c>
    </row>
    <row r="7" spans="1:6" x14ac:dyDescent="0.15">
      <c r="D7" s="116" t="s">
        <v>30</v>
      </c>
    </row>
    <row r="8" spans="1:6" x14ac:dyDescent="0.15">
      <c r="D8" s="116" t="s">
        <v>31</v>
      </c>
    </row>
    <row r="9" spans="1:6" x14ac:dyDescent="0.15">
      <c r="C9" s="163" t="s">
        <v>83</v>
      </c>
      <c r="D9" s="163"/>
      <c r="E9" s="163"/>
      <c r="F9" s="121"/>
    </row>
    <row r="10" spans="1:6" s="44" customFormat="1" x14ac:dyDescent="0.15">
      <c r="A10" s="120"/>
      <c r="B10" s="120"/>
      <c r="C10" s="118"/>
      <c r="D10" s="122" t="s">
        <v>84</v>
      </c>
      <c r="E10" s="118"/>
      <c r="F10" s="121"/>
    </row>
    <row r="11" spans="1:6" x14ac:dyDescent="0.15">
      <c r="D11" s="116" t="s">
        <v>85</v>
      </c>
    </row>
    <row r="12" spans="1:6" x14ac:dyDescent="0.15">
      <c r="D12" s="22" t="s">
        <v>86</v>
      </c>
    </row>
    <row r="13" spans="1:6" s="22" customFormat="1" x14ac:dyDescent="0.15">
      <c r="D13" s="22" t="s">
        <v>87</v>
      </c>
    </row>
    <row r="14" spans="1:6" x14ac:dyDescent="0.15">
      <c r="D14" s="116" t="s">
        <v>88</v>
      </c>
    </row>
    <row r="15" spans="1:6" s="22" customFormat="1" x14ac:dyDescent="0.15"/>
    <row r="16" spans="1:6" s="22" customFormat="1" x14ac:dyDescent="0.15">
      <c r="C16" s="123" t="s">
        <v>89</v>
      </c>
    </row>
    <row r="17" spans="3:4" x14ac:dyDescent="0.15">
      <c r="D17" s="124" t="s">
        <v>178</v>
      </c>
    </row>
    <row r="18" spans="3:4" x14ac:dyDescent="0.15">
      <c r="D18" s="124" t="s">
        <v>165</v>
      </c>
    </row>
    <row r="19" spans="3:4" x14ac:dyDescent="0.15">
      <c r="D19" s="124" t="s">
        <v>179</v>
      </c>
    </row>
    <row r="20" spans="3:4" x14ac:dyDescent="0.15">
      <c r="D20" s="124"/>
    </row>
    <row r="21" spans="3:4" s="22" customFormat="1" x14ac:dyDescent="0.15">
      <c r="C21" s="123" t="s">
        <v>90</v>
      </c>
    </row>
    <row r="22" spans="3:4" x14ac:dyDescent="0.15">
      <c r="D22" s="22" t="s">
        <v>167</v>
      </c>
    </row>
    <row r="23" spans="3:4" x14ac:dyDescent="0.15">
      <c r="D23" s="22" t="s">
        <v>152</v>
      </c>
    </row>
    <row r="24" spans="3:4" x14ac:dyDescent="0.15">
      <c r="D24" s="22" t="s">
        <v>76</v>
      </c>
    </row>
    <row r="25" spans="3:4" x14ac:dyDescent="0.15">
      <c r="D25" s="22" t="s">
        <v>91</v>
      </c>
    </row>
    <row r="26" spans="3:4" x14ac:dyDescent="0.15">
      <c r="D26" s="22" t="s">
        <v>168</v>
      </c>
    </row>
    <row r="27" spans="3:4" x14ac:dyDescent="0.15">
      <c r="D27" s="124" t="s">
        <v>92</v>
      </c>
    </row>
    <row r="28" spans="3:4" x14ac:dyDescent="0.15">
      <c r="D28" s="22" t="s">
        <v>156</v>
      </c>
    </row>
    <row r="29" spans="3:4" x14ac:dyDescent="0.15">
      <c r="D29" s="124" t="s">
        <v>118</v>
      </c>
    </row>
    <row r="30" spans="3:4" x14ac:dyDescent="0.15">
      <c r="D30" s="22" t="s">
        <v>157</v>
      </c>
    </row>
    <row r="31" spans="3:4" x14ac:dyDescent="0.15">
      <c r="D31" s="22" t="s">
        <v>158</v>
      </c>
    </row>
    <row r="32" spans="3:4" s="22" customFormat="1" x14ac:dyDescent="0.15">
      <c r="D32" s="22" t="s">
        <v>93</v>
      </c>
    </row>
    <row r="33" spans="3:4" x14ac:dyDescent="0.15">
      <c r="D33" s="124" t="s">
        <v>119</v>
      </c>
    </row>
    <row r="34" spans="3:4" x14ac:dyDescent="0.15">
      <c r="D34" s="124" t="s">
        <v>118</v>
      </c>
    </row>
    <row r="35" spans="3:4" x14ac:dyDescent="0.15">
      <c r="D35" s="22" t="s">
        <v>94</v>
      </c>
    </row>
    <row r="36" spans="3:4" s="22" customFormat="1" x14ac:dyDescent="0.15">
      <c r="D36" s="22" t="s">
        <v>169</v>
      </c>
    </row>
    <row r="37" spans="3:4" x14ac:dyDescent="0.15">
      <c r="D37" s="22" t="s">
        <v>170</v>
      </c>
    </row>
    <row r="38" spans="3:4" x14ac:dyDescent="0.15">
      <c r="D38" s="124" t="s">
        <v>95</v>
      </c>
    </row>
    <row r="39" spans="3:4" s="22" customFormat="1" x14ac:dyDescent="0.15">
      <c r="D39" s="22" t="s">
        <v>96</v>
      </c>
    </row>
    <row r="40" spans="3:4" s="22" customFormat="1" x14ac:dyDescent="0.15">
      <c r="D40" s="22" t="s">
        <v>97</v>
      </c>
    </row>
    <row r="41" spans="3:4" s="22" customFormat="1" x14ac:dyDescent="0.15">
      <c r="D41" s="22" t="s">
        <v>78</v>
      </c>
    </row>
    <row r="42" spans="3:4" s="22" customFormat="1" x14ac:dyDescent="0.15">
      <c r="D42" s="22" t="s">
        <v>98</v>
      </c>
    </row>
    <row r="43" spans="3:4" x14ac:dyDescent="0.15">
      <c r="D43" s="22" t="s">
        <v>120</v>
      </c>
    </row>
    <row r="44" spans="3:4" x14ac:dyDescent="0.15">
      <c r="D44" s="22" t="s">
        <v>175</v>
      </c>
    </row>
    <row r="45" spans="3:4" x14ac:dyDescent="0.15">
      <c r="D45" s="22"/>
    </row>
    <row r="46" spans="3:4" s="22" customFormat="1" x14ac:dyDescent="0.15">
      <c r="C46" s="123" t="s">
        <v>99</v>
      </c>
    </row>
    <row r="47" spans="3:4" s="22" customFormat="1" x14ac:dyDescent="0.15">
      <c r="D47" s="22" t="s">
        <v>123</v>
      </c>
    </row>
    <row r="48" spans="3:4" s="22" customFormat="1" x14ac:dyDescent="0.15">
      <c r="D48" s="22" t="s">
        <v>124</v>
      </c>
    </row>
    <row r="49" spans="3:6" s="22" customFormat="1" x14ac:dyDescent="0.15">
      <c r="D49" s="22" t="s">
        <v>100</v>
      </c>
    </row>
    <row r="50" spans="3:6" x14ac:dyDescent="0.15">
      <c r="D50" s="22" t="s">
        <v>159</v>
      </c>
    </row>
    <row r="51" spans="3:6" x14ac:dyDescent="0.15">
      <c r="D51" s="124" t="s">
        <v>118</v>
      </c>
    </row>
    <row r="52" spans="3:6" x14ac:dyDescent="0.15">
      <c r="D52" s="22" t="s">
        <v>157</v>
      </c>
    </row>
    <row r="53" spans="3:6" s="22" customFormat="1" x14ac:dyDescent="0.15">
      <c r="D53" s="22" t="s">
        <v>171</v>
      </c>
    </row>
    <row r="54" spans="3:6" x14ac:dyDescent="0.15">
      <c r="D54" s="22" t="s">
        <v>125</v>
      </c>
    </row>
    <row r="55" spans="3:6" x14ac:dyDescent="0.15">
      <c r="D55" s="22" t="s">
        <v>101</v>
      </c>
    </row>
    <row r="56" spans="3:6" x14ac:dyDescent="0.15">
      <c r="D56" s="124" t="s">
        <v>119</v>
      </c>
    </row>
    <row r="57" spans="3:6" x14ac:dyDescent="0.15">
      <c r="D57" s="124" t="s">
        <v>118</v>
      </c>
    </row>
    <row r="58" spans="3:6" x14ac:dyDescent="0.15">
      <c r="D58" s="22" t="s">
        <v>126</v>
      </c>
    </row>
    <row r="59" spans="3:6" x14ac:dyDescent="0.15">
      <c r="D59" s="22"/>
    </row>
    <row r="60" spans="3:6" s="22" customFormat="1" x14ac:dyDescent="0.15">
      <c r="C60" s="123" t="s">
        <v>142</v>
      </c>
    </row>
    <row r="61" spans="3:6" x14ac:dyDescent="0.15">
      <c r="C61" s="116" t="s">
        <v>103</v>
      </c>
      <c r="D61" s="124" t="s">
        <v>143</v>
      </c>
    </row>
    <row r="62" spans="3:6" x14ac:dyDescent="0.15">
      <c r="D62" s="22"/>
    </row>
    <row r="63" spans="3:6" x14ac:dyDescent="0.15">
      <c r="C63" s="163" t="s">
        <v>102</v>
      </c>
      <c r="D63" s="163"/>
      <c r="E63" s="163"/>
      <c r="F63" s="121"/>
    </row>
    <row r="64" spans="3:6" x14ac:dyDescent="0.15">
      <c r="D64" s="116" t="s">
        <v>46</v>
      </c>
    </row>
    <row r="65" spans="3:4" x14ac:dyDescent="0.15">
      <c r="D65" s="116" t="s">
        <v>47</v>
      </c>
    </row>
    <row r="66" spans="3:4" x14ac:dyDescent="0.15">
      <c r="D66" s="116" t="s">
        <v>48</v>
      </c>
    </row>
    <row r="67" spans="3:4" x14ac:dyDescent="0.15">
      <c r="D67" s="22" t="s">
        <v>49</v>
      </c>
    </row>
    <row r="68" spans="3:4" x14ac:dyDescent="0.15">
      <c r="D68" s="22" t="s">
        <v>74</v>
      </c>
    </row>
    <row r="69" spans="3:4" x14ac:dyDescent="0.15">
      <c r="D69" s="116" t="s">
        <v>32</v>
      </c>
    </row>
    <row r="70" spans="3:4" x14ac:dyDescent="0.15">
      <c r="C70" s="116" t="s">
        <v>103</v>
      </c>
      <c r="D70" s="116" t="s">
        <v>33</v>
      </c>
    </row>
    <row r="71" spans="3:4" x14ac:dyDescent="0.15">
      <c r="D71" s="116" t="s">
        <v>34</v>
      </c>
    </row>
    <row r="72" spans="3:4" x14ac:dyDescent="0.15">
      <c r="D72" s="116" t="s">
        <v>35</v>
      </c>
    </row>
    <row r="73" spans="3:4" x14ac:dyDescent="0.15">
      <c r="D73" s="116" t="s">
        <v>36</v>
      </c>
    </row>
    <row r="74" spans="3:4" x14ac:dyDescent="0.15">
      <c r="D74" s="116" t="s">
        <v>37</v>
      </c>
    </row>
    <row r="75" spans="3:4" x14ac:dyDescent="0.15">
      <c r="D75" s="116" t="s">
        <v>38</v>
      </c>
    </row>
    <row r="76" spans="3:4" x14ac:dyDescent="0.15">
      <c r="D76" s="116" t="s">
        <v>104</v>
      </c>
    </row>
    <row r="77" spans="3:4" x14ac:dyDescent="0.15">
      <c r="D77" s="116" t="s">
        <v>39</v>
      </c>
    </row>
    <row r="78" spans="3:4" x14ac:dyDescent="0.15">
      <c r="D78" s="116" t="s">
        <v>40</v>
      </c>
    </row>
    <row r="79" spans="3:4" x14ac:dyDescent="0.15">
      <c r="D79" s="116" t="s">
        <v>41</v>
      </c>
    </row>
    <row r="80" spans="3:4" x14ac:dyDescent="0.15">
      <c r="D80" s="116" t="s">
        <v>42</v>
      </c>
    </row>
    <row r="81" spans="4:4" x14ac:dyDescent="0.15">
      <c r="D81" s="116" t="s">
        <v>43</v>
      </c>
    </row>
    <row r="82" spans="4:4" x14ac:dyDescent="0.15">
      <c r="D82" s="22" t="s">
        <v>75</v>
      </c>
    </row>
    <row r="83" spans="4:4" x14ac:dyDescent="0.15">
      <c r="D83" s="116" t="s">
        <v>127</v>
      </c>
    </row>
  </sheetData>
  <mergeCells count="4">
    <mergeCell ref="B1:E1"/>
    <mergeCell ref="C5:E5"/>
    <mergeCell ref="C9:E9"/>
    <mergeCell ref="C63:E63"/>
  </mergeCells>
  <phoneticPr fontId="21"/>
  <pageMargins left="0.15748031496062992" right="0.19685039370078741" top="0.35433070866141736" bottom="0.35433070866141736" header="0.51181102362204722" footer="0.51181102362204722"/>
  <pageSetup paperSize="9" scale="83"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sheetPr>
  <dimension ref="A1:AS156"/>
  <sheetViews>
    <sheetView showGridLines="0" topLeftCell="A13" zoomScale="90" zoomScaleNormal="90" workbookViewId="0">
      <selection activeCell="D4" sqref="D4:E4"/>
    </sheetView>
  </sheetViews>
  <sheetFormatPr defaultColWidth="8.875" defaultRowHeight="15.75" x14ac:dyDescent="0.15"/>
  <cols>
    <col min="1" max="1" width="3.125" style="1" customWidth="1"/>
    <col min="2" max="2" width="7.5" style="4" customWidth="1"/>
    <col min="3" max="3" width="8.625" style="4" customWidth="1"/>
    <col min="4" max="4" width="10" style="1" customWidth="1"/>
    <col min="5" max="5" width="16.875" style="1" customWidth="1"/>
    <col min="6" max="6" width="9.5" style="4" customWidth="1"/>
    <col min="7" max="9" width="13.875" style="4" customWidth="1"/>
    <col min="10" max="10" width="16.625" style="1" customWidth="1"/>
    <col min="11" max="11" width="17.875" style="1" customWidth="1"/>
    <col min="12" max="12" width="8.625" style="1" customWidth="1"/>
    <col min="13" max="14" width="8.5" style="4" customWidth="1"/>
    <col min="15" max="15" width="8.375" style="1" customWidth="1"/>
    <col min="16" max="16" width="7.5" style="1" hidden="1" customWidth="1"/>
    <col min="17" max="20" width="15" style="1" hidden="1" customWidth="1"/>
    <col min="21" max="21" width="4.25" style="1" hidden="1" customWidth="1"/>
    <col min="22" max="22" width="7.125" style="1" hidden="1" customWidth="1"/>
    <col min="23" max="23" width="6.25" style="1" hidden="1" customWidth="1"/>
    <col min="24" max="24" width="2.5" style="1" hidden="1" customWidth="1"/>
    <col min="25" max="31" width="3.25" style="22" hidden="1" customWidth="1"/>
    <col min="32" max="32" width="3.25" style="145" hidden="1" customWidth="1"/>
    <col min="33" max="35" width="3.25" style="1" hidden="1" customWidth="1"/>
    <col min="36" max="36" width="15.5" style="1" hidden="1" customWidth="1"/>
    <col min="37" max="37" width="8.125" style="1" hidden="1" customWidth="1"/>
    <col min="38" max="38" width="7.5" style="1" hidden="1" customWidth="1"/>
    <col min="39" max="39" width="15" style="1" hidden="1" customWidth="1"/>
    <col min="40" max="41" width="7.5" style="1" hidden="1" customWidth="1"/>
    <col min="42" max="42" width="5" style="1" hidden="1" customWidth="1"/>
    <col min="43" max="43" width="8.875" style="1" hidden="1" customWidth="1"/>
    <col min="44" max="44" width="10.625" style="22" hidden="1" customWidth="1"/>
    <col min="45" max="45" width="12.375" style="22" hidden="1" customWidth="1"/>
    <col min="46" max="16384" width="8.875" style="1"/>
  </cols>
  <sheetData>
    <row r="1" spans="1:45" ht="25.5" customHeight="1" thickBot="1" x14ac:dyDescent="0.2">
      <c r="B1" s="199" t="s">
        <v>180</v>
      </c>
      <c r="C1" s="199"/>
      <c r="D1" s="199"/>
      <c r="E1" s="199"/>
      <c r="F1" s="199"/>
      <c r="G1" s="196" t="s">
        <v>6</v>
      </c>
      <c r="H1" s="196"/>
      <c r="I1" s="196"/>
      <c r="K1" s="2"/>
      <c r="L1" s="2"/>
      <c r="M1" s="2"/>
      <c r="N1" s="2"/>
      <c r="O1" s="2"/>
      <c r="P1" s="2"/>
    </row>
    <row r="2" spans="1:45" ht="6.75" customHeight="1" thickTop="1" thickBot="1" x14ac:dyDescent="0.2">
      <c r="K2" s="2"/>
      <c r="L2" s="2"/>
      <c r="M2" s="2"/>
      <c r="N2" s="2"/>
      <c r="O2" s="2"/>
      <c r="P2" s="2"/>
    </row>
    <row r="3" spans="1:45" ht="27" customHeight="1" x14ac:dyDescent="0.15">
      <c r="B3" s="177" t="s">
        <v>44</v>
      </c>
      <c r="C3" s="178"/>
      <c r="D3" s="200" t="s">
        <v>153</v>
      </c>
      <c r="E3" s="201"/>
      <c r="F3" s="202" t="s">
        <v>163</v>
      </c>
      <c r="G3" s="178"/>
      <c r="H3" s="203" t="s">
        <v>146</v>
      </c>
      <c r="I3" s="204"/>
      <c r="K3" s="164" t="s">
        <v>176</v>
      </c>
      <c r="L3" s="165"/>
      <c r="M3" s="165"/>
      <c r="N3" s="165"/>
      <c r="O3" s="166"/>
      <c r="P3" s="5"/>
    </row>
    <row r="4" spans="1:45" ht="27" customHeight="1" x14ac:dyDescent="0.15">
      <c r="B4" s="223"/>
      <c r="C4" s="224"/>
      <c r="D4" s="221"/>
      <c r="E4" s="222"/>
      <c r="F4" s="185"/>
      <c r="G4" s="186"/>
      <c r="H4" s="209"/>
      <c r="I4" s="210"/>
      <c r="J4" s="161" t="str">
        <f>IF(B4="","",IF(OR(B4="一般",B4="大学"),"",IF(Q4="NG","所属名称「中」なし",IF(R4="NG","所属名称「高」なし",""))))</f>
        <v/>
      </c>
      <c r="K4" s="167"/>
      <c r="L4" s="168"/>
      <c r="M4" s="168"/>
      <c r="N4" s="168"/>
      <c r="O4" s="169"/>
      <c r="P4" s="5"/>
      <c r="Q4" s="1" t="str">
        <f>IF(AND(IF(B4="中学","中","")="中",IF(IF(B4="中学","中","")="中",IF(COUNTIF(D4,"&lt;&gt;*中*"),"","中"),"")="中"),IF(RIGHT(F4,1)="中","中学","NG"),"")</f>
        <v/>
      </c>
      <c r="R4" s="1" t="str">
        <f>IF(AND(IF(B4="高校","高","")="高",IF(IF(B4="高校","高","")="高",IF(COUNTIF(D4,"&lt;&gt;*高*"),"","高"),"")="高"),IF(RIGHT(F4,1)="高","高校","NG"),"")</f>
        <v/>
      </c>
    </row>
    <row r="5" spans="1:45" ht="27" customHeight="1" x14ac:dyDescent="0.15">
      <c r="B5" s="187" t="s">
        <v>10</v>
      </c>
      <c r="C5" s="6" t="s">
        <v>11</v>
      </c>
      <c r="D5" s="219"/>
      <c r="E5" s="220"/>
      <c r="F5" s="109" t="s">
        <v>77</v>
      </c>
      <c r="G5" s="214"/>
      <c r="H5" s="215"/>
      <c r="I5" s="216"/>
      <c r="K5" s="167"/>
      <c r="L5" s="168"/>
      <c r="M5" s="168"/>
      <c r="N5" s="168"/>
      <c r="O5" s="169"/>
      <c r="P5" s="5"/>
    </row>
    <row r="6" spans="1:45" ht="27" customHeight="1" thickBot="1" x14ac:dyDescent="0.2">
      <c r="B6" s="188"/>
      <c r="C6" s="7" t="s">
        <v>45</v>
      </c>
      <c r="D6" s="217"/>
      <c r="E6" s="217"/>
      <c r="F6" s="217"/>
      <c r="G6" s="217"/>
      <c r="H6" s="217"/>
      <c r="I6" s="218"/>
      <c r="K6" s="167"/>
      <c r="L6" s="168"/>
      <c r="M6" s="168"/>
      <c r="N6" s="168"/>
      <c r="O6" s="169"/>
      <c r="P6" s="5"/>
    </row>
    <row r="7" spans="1:45" ht="27" customHeight="1" thickBot="1" x14ac:dyDescent="0.2">
      <c r="B7" s="226" t="s">
        <v>164</v>
      </c>
      <c r="C7" s="227"/>
      <c r="D7" s="228"/>
      <c r="E7" s="229"/>
      <c r="F7" s="230"/>
      <c r="G7" s="230"/>
      <c r="H7" s="230"/>
      <c r="I7" s="231"/>
      <c r="K7" s="170"/>
      <c r="L7" s="171"/>
      <c r="M7" s="171"/>
      <c r="N7" s="171"/>
      <c r="O7" s="172"/>
      <c r="P7" s="10"/>
    </row>
    <row r="8" spans="1:45" ht="27" customHeight="1" x14ac:dyDescent="0.15">
      <c r="B8" s="197" t="s">
        <v>2</v>
      </c>
      <c r="C8" s="198"/>
      <c r="D8" s="11"/>
      <c r="E8" s="12" t="s">
        <v>17</v>
      </c>
      <c r="G8" s="13" t="s">
        <v>3</v>
      </c>
      <c r="H8" s="14" t="s">
        <v>4</v>
      </c>
      <c r="I8" s="15" t="s">
        <v>5</v>
      </c>
      <c r="M8" s="1"/>
      <c r="N8" s="1"/>
    </row>
    <row r="9" spans="1:45" ht="27" customHeight="1" thickBot="1" x14ac:dyDescent="0.2">
      <c r="B9" s="16">
        <f>SUM(A15+A35+A55+A75+A95)</f>
        <v>0</v>
      </c>
      <c r="C9" s="17">
        <f>SUM(A16+A36+A56+A76+A96)</f>
        <v>0</v>
      </c>
      <c r="D9" s="11"/>
      <c r="E9" s="18" t="str">
        <f>IF(B4="","",VLOOKUP(B4,V12:W14,2,FALSE))</f>
        <v/>
      </c>
      <c r="G9" s="57">
        <f>IF(E9="",0,C9*E9)</f>
        <v>0</v>
      </c>
      <c r="H9" s="58">
        <f>IF(リレー申込票!I6="",0,リレー申込票!I6)</f>
        <v>0</v>
      </c>
      <c r="I9" s="59">
        <f>SUM(G9+H9)</f>
        <v>0</v>
      </c>
      <c r="L9" s="19"/>
      <c r="M9" s="19"/>
      <c r="N9" s="1"/>
      <c r="Q9" s="148" t="s">
        <v>173</v>
      </c>
      <c r="R9" s="148"/>
      <c r="S9" s="148"/>
      <c r="T9" s="148"/>
      <c r="U9" s="148"/>
      <c r="V9" s="148"/>
      <c r="W9" s="148"/>
    </row>
    <row r="10" spans="1:45" ht="6.75" customHeight="1" thickBot="1" x14ac:dyDescent="0.2">
      <c r="B10" s="8"/>
      <c r="G10" s="8"/>
      <c r="L10" s="20" t="s">
        <v>109</v>
      </c>
      <c r="M10" s="20" t="s">
        <v>110</v>
      </c>
      <c r="O10" s="21"/>
      <c r="P10" s="21"/>
      <c r="Q10" s="22"/>
      <c r="R10" s="22"/>
      <c r="S10" s="22"/>
      <c r="T10" s="22"/>
      <c r="U10" s="22"/>
      <c r="V10" s="22"/>
      <c r="W10" s="22"/>
      <c r="X10" s="22"/>
      <c r="AG10" s="22"/>
    </row>
    <row r="11" spans="1:45" ht="26.25" customHeight="1" thickBot="1" x14ac:dyDescent="0.2">
      <c r="B11" s="225" t="s">
        <v>12</v>
      </c>
      <c r="C11" s="207" t="s">
        <v>13</v>
      </c>
      <c r="D11" s="207" t="s">
        <v>155</v>
      </c>
      <c r="E11" s="23" t="s">
        <v>11</v>
      </c>
      <c r="F11" s="179" t="s">
        <v>14</v>
      </c>
      <c r="G11" s="205" t="s">
        <v>0</v>
      </c>
      <c r="H11" s="205"/>
      <c r="I11" s="206"/>
      <c r="K11" s="24" t="s">
        <v>15</v>
      </c>
      <c r="L11" s="24"/>
      <c r="M11" s="154" t="str">
        <f>IF(SUM(AN13:AO39)&gt;0,"参加制限を超えている種目があります","")</f>
        <v/>
      </c>
      <c r="N11" s="9"/>
      <c r="O11" s="9"/>
      <c r="P11" s="9"/>
      <c r="Q11" s="22"/>
      <c r="R11" s="22"/>
      <c r="S11" s="22" t="s">
        <v>128</v>
      </c>
      <c r="T11" s="22" t="s">
        <v>129</v>
      </c>
      <c r="U11" s="22"/>
      <c r="V11" s="22"/>
      <c r="W11" s="22"/>
      <c r="X11" s="22"/>
      <c r="AG11" s="22"/>
      <c r="AJ11" s="149" t="s">
        <v>72</v>
      </c>
      <c r="AK11" s="25"/>
      <c r="AM11" s="1" t="s">
        <v>154</v>
      </c>
    </row>
    <row r="12" spans="1:45" ht="26.25" customHeight="1" thickBot="1" x14ac:dyDescent="0.2">
      <c r="B12" s="188"/>
      <c r="C12" s="208"/>
      <c r="D12" s="208"/>
      <c r="E12" s="26" t="s">
        <v>166</v>
      </c>
      <c r="F12" s="180"/>
      <c r="G12" s="211" t="s">
        <v>1</v>
      </c>
      <c r="H12" s="212"/>
      <c r="I12" s="213"/>
      <c r="K12" s="111" t="s">
        <v>115</v>
      </c>
      <c r="L12" s="27" t="s">
        <v>105</v>
      </c>
      <c r="M12" s="153" t="s">
        <v>106</v>
      </c>
      <c r="P12" s="21"/>
      <c r="Q12" s="22" t="s">
        <v>105</v>
      </c>
      <c r="R12" s="22" t="s">
        <v>106</v>
      </c>
      <c r="S12" s="22" t="s">
        <v>105</v>
      </c>
      <c r="T12" s="22" t="s">
        <v>106</v>
      </c>
      <c r="U12" s="28">
        <v>1</v>
      </c>
      <c r="V12" s="22" t="s">
        <v>21</v>
      </c>
      <c r="W12" s="22">
        <v>1500</v>
      </c>
      <c r="AG12" s="22"/>
      <c r="AJ12" s="111" t="s">
        <v>116</v>
      </c>
      <c r="AK12" s="27" t="s">
        <v>107</v>
      </c>
      <c r="AL12" s="110" t="s">
        <v>108</v>
      </c>
      <c r="AM12" s="111" t="s">
        <v>116</v>
      </c>
      <c r="AN12" s="27" t="s">
        <v>107</v>
      </c>
      <c r="AO12" s="110" t="s">
        <v>108</v>
      </c>
    </row>
    <row r="13" spans="1:45" ht="26.25" customHeight="1" x14ac:dyDescent="0.15">
      <c r="B13" s="189" t="s">
        <v>16</v>
      </c>
      <c r="C13" s="192" t="s">
        <v>106</v>
      </c>
      <c r="D13" s="194">
        <v>1234</v>
      </c>
      <c r="E13" s="112" t="s">
        <v>8</v>
      </c>
      <c r="F13" s="181">
        <v>2</v>
      </c>
      <c r="G13" s="113" t="s">
        <v>7</v>
      </c>
      <c r="H13" s="114"/>
      <c r="I13" s="115"/>
      <c r="K13" s="29" t="s">
        <v>50</v>
      </c>
      <c r="L13" s="140">
        <f t="shared" ref="L13:M17" si="0">COUNTIF($AG$15:$AH$114,L$10&amp;$K13)</f>
        <v>0</v>
      </c>
      <c r="M13" s="141">
        <f t="shared" si="0"/>
        <v>0</v>
      </c>
      <c r="P13" s="21"/>
      <c r="Q13" s="22" t="str">
        <f>IF(AN13&gt;-1,"","100m")</f>
        <v>100m</v>
      </c>
      <c r="R13" s="22" t="str">
        <f>IF(AO13&gt;-1,"","100m")</f>
        <v>100m</v>
      </c>
      <c r="S13" s="22" t="str">
        <f>IF(AN13&gt;-1,"","100m")</f>
        <v>100m</v>
      </c>
      <c r="T13" s="22" t="str">
        <f>IF(AO13&gt;-1,"","100m")</f>
        <v>100m</v>
      </c>
      <c r="U13" s="28">
        <v>2</v>
      </c>
      <c r="V13" s="22" t="s">
        <v>57</v>
      </c>
      <c r="W13" s="22">
        <v>1200</v>
      </c>
      <c r="AG13" s="22"/>
      <c r="AH13" s="22"/>
      <c r="AI13" s="22"/>
      <c r="AJ13" s="30" t="s">
        <v>50</v>
      </c>
      <c r="AK13" s="31">
        <v>5</v>
      </c>
      <c r="AL13" s="32">
        <v>5</v>
      </c>
      <c r="AM13" s="30" t="s">
        <v>50</v>
      </c>
      <c r="AN13" s="31">
        <f>L13-AK13</f>
        <v>-5</v>
      </c>
      <c r="AO13" s="31">
        <f>M13-AL13</f>
        <v>-5</v>
      </c>
    </row>
    <row r="14" spans="1:45" ht="26.25" customHeight="1" x14ac:dyDescent="0.15">
      <c r="B14" s="190"/>
      <c r="C14" s="193"/>
      <c r="D14" s="195"/>
      <c r="E14" s="33" t="s">
        <v>9</v>
      </c>
      <c r="F14" s="182"/>
      <c r="G14" s="108">
        <v>10129</v>
      </c>
      <c r="H14" s="34"/>
      <c r="I14" s="35"/>
      <c r="K14" s="29" t="s">
        <v>68</v>
      </c>
      <c r="L14" s="140">
        <f t="shared" si="0"/>
        <v>0</v>
      </c>
      <c r="M14" s="141">
        <f t="shared" si="0"/>
        <v>0</v>
      </c>
      <c r="P14" s="21"/>
      <c r="Q14" s="22" t="str">
        <f>IF(AN14&gt;-1,"","200m")</f>
        <v>200m</v>
      </c>
      <c r="R14" s="22" t="str">
        <f>IF(AO14&gt;-1,"","200m")</f>
        <v>200m</v>
      </c>
      <c r="S14" s="22" t="str">
        <f>IF(AN14&gt;-1,"","200m")</f>
        <v>200m</v>
      </c>
      <c r="T14" s="22" t="str">
        <f>IF(AO14&gt;-1,"","200m")</f>
        <v>200m</v>
      </c>
      <c r="U14" s="28">
        <v>3</v>
      </c>
      <c r="V14" s="22" t="s">
        <v>58</v>
      </c>
      <c r="W14" s="22">
        <v>1000</v>
      </c>
      <c r="AG14" s="22"/>
      <c r="AJ14" s="30" t="s">
        <v>68</v>
      </c>
      <c r="AK14" s="31">
        <v>5</v>
      </c>
      <c r="AL14" s="32">
        <v>5</v>
      </c>
      <c r="AM14" s="30" t="s">
        <v>68</v>
      </c>
      <c r="AN14" s="31">
        <f t="shared" ref="AN14:AO29" si="1">L14-AK14</f>
        <v>-5</v>
      </c>
      <c r="AO14" s="31">
        <f t="shared" si="1"/>
        <v>-5</v>
      </c>
      <c r="AR14" s="22" t="s">
        <v>172</v>
      </c>
    </row>
    <row r="15" spans="1:45" ht="27" customHeight="1" x14ac:dyDescent="0.15">
      <c r="A15" s="37">
        <f>COUNTA(E15,E17,E19,E21,E23,E25,E27,E29,E31,E33)</f>
        <v>0</v>
      </c>
      <c r="B15" s="183">
        <f>IF(AE15&lt;1,1,"ｱｽﾘｰﾄﾋﾞﾌﾞｽが重複しています")</f>
        <v>1</v>
      </c>
      <c r="C15" s="191"/>
      <c r="D15" s="191"/>
      <c r="E15" s="38"/>
      <c r="F15" s="173"/>
      <c r="G15" s="107"/>
      <c r="H15" s="107"/>
      <c r="I15" s="105"/>
      <c r="J15" s="159" t="str">
        <f>IF(E15="","",IF(LEN(E15)-LEN(SUBSTITUTE(SUBSTITUTE(E15," ",),"　",))=1,"","氏名ｽﾍﾟｰｽ数"&amp;LEN(E15)-LEN(SUBSTITUTE(SUBSTITUTE(E15," ",),"　",))))</f>
        <v/>
      </c>
      <c r="K15" s="29" t="s">
        <v>52</v>
      </c>
      <c r="L15" s="140">
        <f t="shared" si="0"/>
        <v>0</v>
      </c>
      <c r="M15" s="141">
        <f t="shared" si="0"/>
        <v>0</v>
      </c>
      <c r="P15" s="21"/>
      <c r="Q15" s="22" t="str">
        <f>IF(AN15&gt;-1,"","400m")</f>
        <v>400m</v>
      </c>
      <c r="R15" s="22" t="str">
        <f>IF(AO15&gt;-1,"","400m")</f>
        <v>400m</v>
      </c>
      <c r="S15" s="22" t="str">
        <f>IF(AN15&gt;-1,"","400m")</f>
        <v>400m</v>
      </c>
      <c r="T15" s="22" t="str">
        <f>IF(AO15&gt;-1,"","400m")</f>
        <v>400m</v>
      </c>
      <c r="U15" s="28">
        <v>4</v>
      </c>
      <c r="V15" s="22"/>
      <c r="W15" s="22"/>
      <c r="X15" s="22"/>
      <c r="Y15" s="97" t="str">
        <f>IF(D15="","",C15&amp;D15)</f>
        <v/>
      </c>
      <c r="Z15" s="97">
        <f>IF(Y15="",1,Y15)</f>
        <v>1</v>
      </c>
      <c r="AA15" s="97">
        <f>IF(ISERROR(VLOOKUP(Z15,$Y$13:Y14,1,FALSE)),0,VLOOKUP(Z15,$Y$13:Y14,1,FALSE))</f>
        <v>0</v>
      </c>
      <c r="AB15" s="97" t="str">
        <f>IF(D15="","",C15&amp;D15&amp;E15)</f>
        <v/>
      </c>
      <c r="AC15" s="97">
        <f>IF(AB15="",1,AB15)</f>
        <v>1</v>
      </c>
      <c r="AD15" s="98">
        <f>IF(ISERROR(VLOOKUP(AC15,$AB$13:AB14,1,FALSE)),0,VLOOKUP(AC15,$AB$13:AB14,1,FALSE))</f>
        <v>0</v>
      </c>
      <c r="AE15" s="98">
        <f>IF(Z15=AA15,1,0)-AD16</f>
        <v>0</v>
      </c>
      <c r="AF15" s="146">
        <f>IF($B$4="中学",$B$4&amp;C15,C15)</f>
        <v>0</v>
      </c>
      <c r="AG15" s="97" t="str">
        <f>C15&amp;G15</f>
        <v/>
      </c>
      <c r="AH15" s="39" t="str">
        <f>C15&amp;H15</f>
        <v/>
      </c>
      <c r="AJ15" s="30" t="s">
        <v>52</v>
      </c>
      <c r="AK15" s="31">
        <v>5</v>
      </c>
      <c r="AL15" s="32">
        <v>5</v>
      </c>
      <c r="AM15" s="30" t="s">
        <v>52</v>
      </c>
      <c r="AN15" s="31">
        <f t="shared" si="1"/>
        <v>-5</v>
      </c>
      <c r="AO15" s="31">
        <f t="shared" si="1"/>
        <v>-5</v>
      </c>
      <c r="AR15" s="155" t="str">
        <f>C15&amp;D15</f>
        <v/>
      </c>
      <c r="AS15" s="155">
        <f>E15</f>
        <v>0</v>
      </c>
    </row>
    <row r="16" spans="1:45" ht="27" customHeight="1" x14ac:dyDescent="0.15">
      <c r="A16" s="42">
        <f>COUNTA(G15:I15,G17:I17,G19:I19,G21:I21,G23:I23,G25:I25,G27:I27,G29:I29,G31:I31,G33:I33)</f>
        <v>0</v>
      </c>
      <c r="B16" s="184"/>
      <c r="C16" s="191"/>
      <c r="D16" s="191"/>
      <c r="E16" s="38"/>
      <c r="F16" s="174"/>
      <c r="G16" s="107"/>
      <c r="H16" s="107"/>
      <c r="I16" s="105"/>
      <c r="K16" s="29" t="s">
        <v>53</v>
      </c>
      <c r="L16" s="140">
        <f t="shared" si="0"/>
        <v>0</v>
      </c>
      <c r="M16" s="141">
        <f t="shared" si="0"/>
        <v>0</v>
      </c>
      <c r="P16" s="21"/>
      <c r="Q16" s="22" t="str">
        <f>IF(AN16&gt;-1,"","800m")</f>
        <v>800m</v>
      </c>
      <c r="R16" s="22" t="str">
        <f>IF(AO16&gt;-1,"","800m")</f>
        <v>800m</v>
      </c>
      <c r="S16" s="22" t="str">
        <f>IF(AN16&gt;-1,"","800m")</f>
        <v>800m</v>
      </c>
      <c r="T16" s="22" t="str">
        <f>IF(AO16&gt;-1,"","800m")</f>
        <v>800m</v>
      </c>
      <c r="U16" s="28">
        <v>5</v>
      </c>
      <c r="V16" s="22"/>
      <c r="W16" s="22"/>
      <c r="X16" s="22"/>
      <c r="Y16" s="99"/>
      <c r="Z16" s="100"/>
      <c r="AA16" s="100"/>
      <c r="AB16" s="100"/>
      <c r="AC16" s="100"/>
      <c r="AD16" s="98">
        <f>IF(AC15=AD15,1,0)</f>
        <v>0</v>
      </c>
      <c r="AE16" s="98"/>
      <c r="AF16" s="147"/>
      <c r="AG16" s="100"/>
      <c r="AH16" s="43"/>
      <c r="AI16" s="22"/>
      <c r="AJ16" s="30" t="s">
        <v>53</v>
      </c>
      <c r="AK16" s="31">
        <v>5</v>
      </c>
      <c r="AL16" s="32">
        <v>5</v>
      </c>
      <c r="AM16" s="30" t="s">
        <v>53</v>
      </c>
      <c r="AN16" s="31">
        <f t="shared" si="1"/>
        <v>-5</v>
      </c>
      <c r="AO16" s="31">
        <f t="shared" si="1"/>
        <v>-5</v>
      </c>
      <c r="AR16" s="155"/>
      <c r="AS16" s="155"/>
    </row>
    <row r="17" spans="2:45" ht="27" customHeight="1" x14ac:dyDescent="0.15">
      <c r="B17" s="183">
        <f>IF(AE17&lt;1,2,"ｱｽﾘｰﾄﾋﾞﾌﾞｽが重複しています")</f>
        <v>2</v>
      </c>
      <c r="C17" s="191"/>
      <c r="D17" s="191"/>
      <c r="E17" s="38"/>
      <c r="F17" s="173"/>
      <c r="G17" s="130"/>
      <c r="H17" s="130"/>
      <c r="I17" s="105"/>
      <c r="J17" s="159" t="str">
        <f t="shared" ref="J17" si="2">IF(E17="","",IF(LEN(E17)-LEN(SUBSTITUTE(SUBSTITUTE(E17," ",),"　",))=1,"","氏名ｽﾍﾟｰｽ数"&amp;LEN(E17)-LEN(SUBSTITUTE(SUBSTITUTE(E17," ",),"　",))))</f>
        <v/>
      </c>
      <c r="K17" s="29" t="s">
        <v>69</v>
      </c>
      <c r="L17" s="140">
        <f>COUNTIF($AG$15:$AH$114,L$10&amp;$K17)</f>
        <v>0</v>
      </c>
      <c r="M17" s="141">
        <f t="shared" si="0"/>
        <v>0</v>
      </c>
      <c r="P17" s="21"/>
      <c r="Q17" s="1" t="str">
        <f>IF(AN17&gt;-1,"","1500m")</f>
        <v>1500m</v>
      </c>
      <c r="R17" s="1" t="str">
        <f>IF(AO17&gt;-1,"","1500m")</f>
        <v>1500m</v>
      </c>
      <c r="S17" s="1" t="str">
        <f>IF(AN17&gt;-1,"","1500m")</f>
        <v>1500m</v>
      </c>
      <c r="T17" s="1" t="str">
        <f>IF(AO17&gt;-1,"","1500m")</f>
        <v>1500m</v>
      </c>
      <c r="U17" s="28">
        <v>6</v>
      </c>
      <c r="V17" s="22"/>
      <c r="W17" s="22"/>
      <c r="X17" s="22"/>
      <c r="Y17" s="97" t="str">
        <f>IF(D17="","",C17&amp;D17)</f>
        <v/>
      </c>
      <c r="Z17" s="97">
        <f>IF(Y17="",1,Y17)</f>
        <v>1</v>
      </c>
      <c r="AA17" s="97">
        <f>IF(ISERROR(VLOOKUP(Z17,$Y$13:Y16,1,FALSE)),0,VLOOKUP(Z17,$Y$13:Y16,1,FALSE))</f>
        <v>0</v>
      </c>
      <c r="AB17" s="97" t="str">
        <f>IF(D17="","",C17&amp;D17&amp;E17)</f>
        <v/>
      </c>
      <c r="AC17" s="97">
        <f>IF(AB17="",1,AB17)</f>
        <v>1</v>
      </c>
      <c r="AD17" s="98">
        <f>IF(ISERROR(VLOOKUP(AC17,$AB$13:AB16,1,FALSE)),0,VLOOKUP(AC17,$AB$13:AB16,1,FALSE))</f>
        <v>0</v>
      </c>
      <c r="AE17" s="98">
        <f>IF(Z17=AA17,1,0)-AD18</f>
        <v>0</v>
      </c>
      <c r="AF17" s="146">
        <f>IF($B$4="中学",$B$4&amp;C17,C17)</f>
        <v>0</v>
      </c>
      <c r="AG17" s="97" t="str">
        <f>C17&amp;G17</f>
        <v/>
      </c>
      <c r="AH17" s="39" t="str">
        <f>C17&amp;H17</f>
        <v/>
      </c>
      <c r="AI17" s="22"/>
      <c r="AJ17" s="30" t="s">
        <v>69</v>
      </c>
      <c r="AK17" s="31">
        <v>5</v>
      </c>
      <c r="AL17" s="32">
        <v>5</v>
      </c>
      <c r="AM17" s="30" t="s">
        <v>69</v>
      </c>
      <c r="AN17" s="31">
        <f t="shared" si="1"/>
        <v>-5</v>
      </c>
      <c r="AO17" s="31">
        <f t="shared" si="1"/>
        <v>-5</v>
      </c>
      <c r="AR17" s="155" t="str">
        <f t="shared" ref="AR17:AR79" si="3">C17&amp;D17</f>
        <v/>
      </c>
      <c r="AS17" s="155">
        <f t="shared" ref="AS17:AS79" si="4">E17</f>
        <v>0</v>
      </c>
    </row>
    <row r="18" spans="2:45" ht="27" customHeight="1" x14ac:dyDescent="0.15">
      <c r="B18" s="184"/>
      <c r="C18" s="191"/>
      <c r="D18" s="191"/>
      <c r="E18" s="38"/>
      <c r="F18" s="174"/>
      <c r="G18" s="130"/>
      <c r="H18" s="130"/>
      <c r="I18" s="105"/>
      <c r="J18" s="160"/>
      <c r="K18" s="29" t="s">
        <v>144</v>
      </c>
      <c r="L18" s="101" t="s">
        <v>51</v>
      </c>
      <c r="M18" s="141">
        <f>COUNTIF($AG$15:$AH$114,M$10&amp;$K18)</f>
        <v>0</v>
      </c>
      <c r="P18" s="21"/>
      <c r="Q18" s="1" t="str">
        <f>IF(AN19&gt;-1,"","5000m")</f>
        <v>5000m</v>
      </c>
      <c r="R18" s="1" t="str">
        <f>IF(AO18&gt;-1,"","3000m")</f>
        <v>3000m</v>
      </c>
      <c r="S18" s="1" t="str">
        <f>IF(AN22&gt;-1,"","110mH(1.067m)")</f>
        <v>110mH(1.067m)</v>
      </c>
      <c r="T18" s="1" t="str">
        <f>IF(AO18&gt;-1,"","3000m")</f>
        <v>3000m</v>
      </c>
      <c r="U18" s="28">
        <v>7</v>
      </c>
      <c r="V18" s="22"/>
      <c r="W18" s="22"/>
      <c r="X18" s="22"/>
      <c r="Y18" s="99"/>
      <c r="Z18" s="100"/>
      <c r="AA18" s="100"/>
      <c r="AB18" s="100"/>
      <c r="AC18" s="100"/>
      <c r="AD18" s="98">
        <f>IF(AC17=AD17,1,0)</f>
        <v>0</v>
      </c>
      <c r="AE18" s="98"/>
      <c r="AF18" s="147"/>
      <c r="AG18" s="100"/>
      <c r="AH18" s="43"/>
      <c r="AI18" s="22"/>
      <c r="AJ18" s="30" t="s">
        <v>145</v>
      </c>
      <c r="AK18" s="36"/>
      <c r="AL18" s="32">
        <v>5</v>
      </c>
      <c r="AM18" s="30" t="s">
        <v>145</v>
      </c>
      <c r="AN18" s="36"/>
      <c r="AO18" s="31">
        <f t="shared" si="1"/>
        <v>-5</v>
      </c>
      <c r="AR18" s="155"/>
      <c r="AS18" s="155"/>
    </row>
    <row r="19" spans="2:45" ht="27" customHeight="1" x14ac:dyDescent="0.15">
      <c r="B19" s="183">
        <f>IF(AE19&lt;1,3,"ｱｽﾘｰﾄﾋﾞﾌﾞｽが重複しています")</f>
        <v>3</v>
      </c>
      <c r="C19" s="191"/>
      <c r="D19" s="191"/>
      <c r="E19" s="38"/>
      <c r="F19" s="173"/>
      <c r="G19" s="130"/>
      <c r="H19" s="130"/>
      <c r="I19" s="105"/>
      <c r="J19" s="159" t="str">
        <f t="shared" ref="J19" si="5">IF(E19="","",IF(LEN(E19)-LEN(SUBSTITUTE(SUBSTITUTE(E19," ",),"　",))=1,"","氏名ｽﾍﾟｰｽ数"&amp;LEN(E19)-LEN(SUBSTITUTE(SUBSTITUTE(E19," ",),"　",))))</f>
        <v/>
      </c>
      <c r="K19" s="29" t="s">
        <v>70</v>
      </c>
      <c r="L19" s="140">
        <f>COUNTIF($AG$15:$AH$114,L$10&amp;$K19)</f>
        <v>0</v>
      </c>
      <c r="M19" s="102" t="s">
        <v>51</v>
      </c>
      <c r="P19" s="21"/>
      <c r="Q19" s="1" t="str">
        <f>IF(AN20&gt;-1,"","10000m")</f>
        <v>10000m</v>
      </c>
      <c r="R19" s="1" t="str">
        <f>IF(AO21&gt;-1,"","100mH(0.838m)")</f>
        <v>100mH(0.838m)</v>
      </c>
      <c r="S19" s="1" t="str">
        <f>IF(AN28&gt;-1,"","走高跳")</f>
        <v>走高跳</v>
      </c>
      <c r="T19" s="1" t="str">
        <f>IF(AO21&gt;-1,"","100mH(0.838m)")</f>
        <v>100mH(0.838m)</v>
      </c>
      <c r="U19" s="28" t="s">
        <v>61</v>
      </c>
      <c r="V19" s="22"/>
      <c r="W19" s="22"/>
      <c r="X19" s="22"/>
      <c r="Y19" s="97" t="str">
        <f>IF(D19="","",C19&amp;D19)</f>
        <v/>
      </c>
      <c r="Z19" s="97">
        <f>IF(Y19="",1,Y19)</f>
        <v>1</v>
      </c>
      <c r="AA19" s="97">
        <f>IF(ISERROR(VLOOKUP(Z19,$Y$13:Y18,1,FALSE)),0,VLOOKUP(Z19,$Y$13:Y18,1,FALSE))</f>
        <v>0</v>
      </c>
      <c r="AB19" s="97" t="str">
        <f>IF(D19="","",C19&amp;D19&amp;E19)</f>
        <v/>
      </c>
      <c r="AC19" s="97">
        <f>IF(AB19="",1,AB19)</f>
        <v>1</v>
      </c>
      <c r="AD19" s="98">
        <f>IF(ISERROR(VLOOKUP(AC19,$AB$13:AB18,1,FALSE)),0,VLOOKUP(AC19,$AB$13:AB18,1,FALSE))</f>
        <v>0</v>
      </c>
      <c r="AE19" s="98">
        <f>IF(Z19=AA19,1,0)-AD20</f>
        <v>0</v>
      </c>
      <c r="AF19" s="146">
        <f>IF($B$4="中学",$B$4&amp;C19,C19)</f>
        <v>0</v>
      </c>
      <c r="AG19" s="97" t="str">
        <f>C19&amp;G19</f>
        <v/>
      </c>
      <c r="AH19" s="39" t="str">
        <f>C19&amp;H19</f>
        <v/>
      </c>
      <c r="AI19" s="22"/>
      <c r="AJ19" s="30" t="s">
        <v>70</v>
      </c>
      <c r="AK19" s="31">
        <v>5</v>
      </c>
      <c r="AL19" s="41"/>
      <c r="AM19" s="30" t="s">
        <v>70</v>
      </c>
      <c r="AN19" s="31">
        <f t="shared" si="1"/>
        <v>-5</v>
      </c>
      <c r="AO19" s="41"/>
      <c r="AR19" s="155" t="str">
        <f t="shared" si="3"/>
        <v/>
      </c>
      <c r="AS19" s="155">
        <f t="shared" si="4"/>
        <v>0</v>
      </c>
    </row>
    <row r="20" spans="2:45" ht="27" customHeight="1" x14ac:dyDescent="0.15">
      <c r="B20" s="184"/>
      <c r="C20" s="191"/>
      <c r="D20" s="191"/>
      <c r="E20" s="38"/>
      <c r="F20" s="174"/>
      <c r="G20" s="130"/>
      <c r="H20" s="130"/>
      <c r="I20" s="105"/>
      <c r="J20" s="160"/>
      <c r="K20" s="29" t="s">
        <v>130</v>
      </c>
      <c r="L20" s="140">
        <f>COUNTIF($AG$15:$AH$114,L$10&amp;$K20)</f>
        <v>0</v>
      </c>
      <c r="M20" s="102" t="s">
        <v>79</v>
      </c>
      <c r="P20" s="21"/>
      <c r="Q20" s="1" t="str">
        <f>IF(AN22&gt;-1,"","110mH(1.067m)")</f>
        <v>110mH(1.067m)</v>
      </c>
      <c r="R20" s="1" t="str">
        <f>IF(AO23&gt;-1,"","400mH(0.762m)")</f>
        <v>400mH(0.762m)</v>
      </c>
      <c r="S20" s="1" t="str">
        <f>IF(AN29&gt;-1,"","棒高跳")</f>
        <v>棒高跳</v>
      </c>
      <c r="T20" s="1" t="str">
        <f>IF(AO28&gt;-1,"","走高跳")</f>
        <v>走高跳</v>
      </c>
      <c r="U20" s="28" t="s">
        <v>62</v>
      </c>
      <c r="V20" s="22"/>
      <c r="W20" s="22"/>
      <c r="X20" s="22"/>
      <c r="Y20" s="100"/>
      <c r="Z20" s="100"/>
      <c r="AA20" s="100"/>
      <c r="AB20" s="100"/>
      <c r="AC20" s="100"/>
      <c r="AD20" s="98">
        <f>IF(AC19=AD19,1,0)</f>
        <v>0</v>
      </c>
      <c r="AE20" s="98"/>
      <c r="AF20" s="147"/>
      <c r="AG20" s="100"/>
      <c r="AH20" s="43"/>
      <c r="AI20" s="22"/>
      <c r="AJ20" s="30" t="s">
        <v>131</v>
      </c>
      <c r="AK20" s="31">
        <v>5</v>
      </c>
      <c r="AL20" s="41"/>
      <c r="AM20" s="30" t="s">
        <v>131</v>
      </c>
      <c r="AN20" s="31">
        <f t="shared" si="1"/>
        <v>-5</v>
      </c>
      <c r="AO20" s="41"/>
      <c r="AR20" s="155"/>
      <c r="AS20" s="155"/>
    </row>
    <row r="21" spans="2:45" ht="27" customHeight="1" x14ac:dyDescent="0.15">
      <c r="B21" s="183">
        <f>IF(AE21&lt;1,4,"ｱｽﾘｰﾄﾋﾞﾌﾞｽが重複しています")</f>
        <v>4</v>
      </c>
      <c r="C21" s="191"/>
      <c r="D21" s="191"/>
      <c r="E21" s="38"/>
      <c r="F21" s="173"/>
      <c r="G21" s="130"/>
      <c r="H21" s="130"/>
      <c r="I21" s="105"/>
      <c r="J21" s="159" t="str">
        <f t="shared" ref="J21" si="6">IF(E21="","",IF(LEN(E21)-LEN(SUBSTITUTE(SUBSTITUTE(E21," ",),"　",))=1,"","氏名ｽﾍﾟｰｽ数"&amp;LEN(E21)-LEN(SUBSTITUTE(SUBSTITUTE(E21," ",),"　",))))</f>
        <v/>
      </c>
      <c r="K21" s="29" t="s">
        <v>71</v>
      </c>
      <c r="L21" s="101" t="s">
        <v>79</v>
      </c>
      <c r="M21" s="141">
        <f>COUNTIF($AG$15:$AH$114,M$10&amp;$K21)</f>
        <v>0</v>
      </c>
      <c r="O21" s="21"/>
      <c r="P21" s="21"/>
      <c r="Q21" s="1" t="str">
        <f>IF(AN24&gt;-1,"","400mH(0.914m)")</f>
        <v>400mH(0.914m)</v>
      </c>
      <c r="R21" s="1" t="str">
        <f>IF(AO25&gt;-1,"","2000mSC(0.762m)")</f>
        <v>2000mSC(0.762m)</v>
      </c>
      <c r="S21" s="1" t="str">
        <f>IF(AN30&gt;-1,"","走幅跳")</f>
        <v>走幅跳</v>
      </c>
      <c r="T21" s="1" t="str">
        <f>IF(AO29&gt;-1,"","棒高跳")</f>
        <v>棒高跳</v>
      </c>
      <c r="U21" s="22"/>
      <c r="V21" s="22"/>
      <c r="W21" s="22"/>
      <c r="X21" s="22"/>
      <c r="Y21" s="97" t="str">
        <f>IF(D21="","",C21&amp;D21)</f>
        <v/>
      </c>
      <c r="Z21" s="97">
        <f>IF(Y21="",1,Y21)</f>
        <v>1</v>
      </c>
      <c r="AA21" s="97">
        <f>IF(ISERROR(VLOOKUP(Z21,$Y$13:Y20,1,FALSE)),0,VLOOKUP(Z21,$Y$13:Y20,1,FALSE))</f>
        <v>0</v>
      </c>
      <c r="AB21" s="97" t="str">
        <f>IF(D21="","",C21&amp;D21&amp;E21)</f>
        <v/>
      </c>
      <c r="AC21" s="97">
        <f>IF(AB21="",1,AB21)</f>
        <v>1</v>
      </c>
      <c r="AD21" s="98">
        <f>IF(ISERROR(VLOOKUP(AC21,$AB$13:AB20,1,FALSE)),0,VLOOKUP(AC21,$AB$13:AB20,1,FALSE))</f>
        <v>0</v>
      </c>
      <c r="AE21" s="98">
        <f>IF(Z21=AA21,1,0)-AD22</f>
        <v>0</v>
      </c>
      <c r="AF21" s="146">
        <f>IF($B$4="中学",$B$4&amp;C21,C21)</f>
        <v>0</v>
      </c>
      <c r="AG21" s="97" t="str">
        <f>C21&amp;G21</f>
        <v/>
      </c>
      <c r="AH21" s="39" t="str">
        <f>C21&amp;H21</f>
        <v/>
      </c>
      <c r="AI21" s="22"/>
      <c r="AJ21" s="30" t="s">
        <v>71</v>
      </c>
      <c r="AK21" s="36"/>
      <c r="AL21" s="32">
        <v>5</v>
      </c>
      <c r="AM21" s="30" t="s">
        <v>71</v>
      </c>
      <c r="AN21" s="36"/>
      <c r="AO21" s="31">
        <f t="shared" si="1"/>
        <v>-5</v>
      </c>
      <c r="AR21" s="155" t="str">
        <f t="shared" si="3"/>
        <v/>
      </c>
      <c r="AS21" s="155">
        <f t="shared" si="4"/>
        <v>0</v>
      </c>
    </row>
    <row r="22" spans="2:45" ht="27" customHeight="1" x14ac:dyDescent="0.15">
      <c r="B22" s="184"/>
      <c r="C22" s="191"/>
      <c r="D22" s="191"/>
      <c r="E22" s="38"/>
      <c r="F22" s="174"/>
      <c r="G22" s="130"/>
      <c r="H22" s="130"/>
      <c r="I22" s="105"/>
      <c r="J22" s="160"/>
      <c r="K22" s="29" t="s">
        <v>54</v>
      </c>
      <c r="L22" s="140">
        <f>COUNTIF($AG$15:$AH$114,L$10&amp;$K22)</f>
        <v>0</v>
      </c>
      <c r="M22" s="102" t="s">
        <v>79</v>
      </c>
      <c r="O22" s="45"/>
      <c r="P22" s="21"/>
      <c r="Q22" s="1" t="str">
        <f>IF(AN26&gt;-1,"","3000mSC(0.914m)")</f>
        <v>3000mSC(0.914m)</v>
      </c>
      <c r="R22" s="1" t="str">
        <f>IF(AO27&gt;-1,"","5000mW")</f>
        <v>5000mW</v>
      </c>
      <c r="T22" s="1" t="str">
        <f>IF(AO30&gt;-1,"","走幅跳")</f>
        <v>走幅跳</v>
      </c>
      <c r="U22" s="22"/>
      <c r="V22" s="22"/>
      <c r="W22" s="22"/>
      <c r="X22" s="22"/>
      <c r="Y22" s="100"/>
      <c r="Z22" s="100"/>
      <c r="AA22" s="100"/>
      <c r="AB22" s="100"/>
      <c r="AC22" s="100"/>
      <c r="AD22" s="98">
        <f>IF(AC21=AD21,1,0)</f>
        <v>0</v>
      </c>
      <c r="AE22" s="98"/>
      <c r="AF22" s="147"/>
      <c r="AG22" s="100"/>
      <c r="AH22" s="43"/>
      <c r="AJ22" s="30" t="s">
        <v>54</v>
      </c>
      <c r="AK22" s="31">
        <v>5</v>
      </c>
      <c r="AL22" s="41"/>
      <c r="AM22" s="30" t="s">
        <v>54</v>
      </c>
      <c r="AN22" s="31">
        <f t="shared" si="1"/>
        <v>-5</v>
      </c>
      <c r="AO22" s="41"/>
      <c r="AR22" s="155"/>
      <c r="AS22" s="155"/>
    </row>
    <row r="23" spans="2:45" ht="27" customHeight="1" x14ac:dyDescent="0.15">
      <c r="B23" s="183">
        <f>IF(AE23&lt;1,5,"ｱｽﾘｰﾄﾋﾞﾌﾞｽが重複しています")</f>
        <v>5</v>
      </c>
      <c r="C23" s="191"/>
      <c r="D23" s="191"/>
      <c r="E23" s="38"/>
      <c r="F23" s="173"/>
      <c r="G23" s="130"/>
      <c r="H23" s="130"/>
      <c r="I23" s="105"/>
      <c r="J23" s="159" t="str">
        <f t="shared" ref="J23" si="7">IF(E23="","",IF(LEN(E23)-LEN(SUBSTITUTE(SUBSTITUTE(E23," ",),"　",))=1,"","氏名ｽﾍﾟｰｽ数"&amp;LEN(E23)-LEN(SUBSTITUTE(SUBSTITUTE(E23," ",),"　",))))</f>
        <v/>
      </c>
      <c r="K23" s="29" t="s">
        <v>137</v>
      </c>
      <c r="L23" s="101" t="s">
        <v>51</v>
      </c>
      <c r="M23" s="141">
        <f>COUNTIF($AG$15:$AH$114,M$10&amp;$K23)</f>
        <v>0</v>
      </c>
      <c r="O23" s="21"/>
      <c r="P23" s="21"/>
      <c r="Q23" s="1" t="str">
        <f>IF(AN27&gt;-1,"","5000mW")</f>
        <v>5000mW</v>
      </c>
      <c r="R23" s="1" t="str">
        <f>IF(AO28&gt;-1,"","走高跳")</f>
        <v>走高跳</v>
      </c>
      <c r="T23" s="1" t="str">
        <f>IF(AO32&gt;-1,"","砲丸投(4.000kg)")</f>
        <v>砲丸投(4.000kg)</v>
      </c>
      <c r="U23" s="22"/>
      <c r="V23" s="22"/>
      <c r="W23" s="22"/>
      <c r="X23" s="22"/>
      <c r="Y23" s="97" t="str">
        <f>IF(D23="","",C23&amp;D23)</f>
        <v/>
      </c>
      <c r="Z23" s="97">
        <f>IF(Y23="",1,Y23)</f>
        <v>1</v>
      </c>
      <c r="AA23" s="97">
        <f>IF(ISERROR(VLOOKUP(Z23,$Y$13:Y22,1,FALSE)),0,VLOOKUP(Z23,$Y$13:Y22,1,FALSE))</f>
        <v>0</v>
      </c>
      <c r="AB23" s="97" t="str">
        <f>IF(D23="","",C23&amp;D23&amp;E23)</f>
        <v/>
      </c>
      <c r="AC23" s="97">
        <f>IF(AB23="",1,AB23)</f>
        <v>1</v>
      </c>
      <c r="AD23" s="98">
        <f>IF(ISERROR(VLOOKUP(AC23,$AB$13:AB22,1,FALSE)),0,VLOOKUP(AC23,$AB$13:AB22,1,FALSE))</f>
        <v>0</v>
      </c>
      <c r="AE23" s="98">
        <f>IF(Z23=AA23,1,0)-AD24</f>
        <v>0</v>
      </c>
      <c r="AF23" s="146">
        <f>IF($B$4="中学",$B$4&amp;C23,C23)</f>
        <v>0</v>
      </c>
      <c r="AG23" s="97" t="str">
        <f>C23&amp;G23</f>
        <v/>
      </c>
      <c r="AH23" s="39" t="str">
        <f>C23&amp;H23</f>
        <v/>
      </c>
      <c r="AJ23" s="30" t="s">
        <v>133</v>
      </c>
      <c r="AK23" s="36"/>
      <c r="AL23" s="32">
        <v>5</v>
      </c>
      <c r="AM23" s="30" t="s">
        <v>133</v>
      </c>
      <c r="AN23" s="36"/>
      <c r="AO23" s="31">
        <f t="shared" si="1"/>
        <v>-5</v>
      </c>
      <c r="AR23" s="155" t="str">
        <f t="shared" si="3"/>
        <v/>
      </c>
      <c r="AS23" s="155">
        <f t="shared" si="4"/>
        <v>0</v>
      </c>
    </row>
    <row r="24" spans="2:45" ht="27" customHeight="1" x14ac:dyDescent="0.15">
      <c r="B24" s="184"/>
      <c r="C24" s="191"/>
      <c r="D24" s="191"/>
      <c r="E24" s="38"/>
      <c r="F24" s="174"/>
      <c r="G24" s="130"/>
      <c r="H24" s="130"/>
      <c r="I24" s="105"/>
      <c r="J24" s="160"/>
      <c r="K24" s="29" t="s">
        <v>136</v>
      </c>
      <c r="L24" s="140">
        <f>COUNTIF($AG$15:$AH$114,L$10&amp;$K24)</f>
        <v>0</v>
      </c>
      <c r="M24" s="102" t="s">
        <v>51</v>
      </c>
      <c r="O24" s="3"/>
      <c r="P24" s="3"/>
      <c r="Q24" s="1" t="str">
        <f>IF(AN28&gt;-1,"","走高跳")</f>
        <v>走高跳</v>
      </c>
      <c r="R24" s="1" t="str">
        <f>IF(AO29&gt;-1,"","棒高跳")</f>
        <v>棒高跳</v>
      </c>
      <c r="T24" s="1" t="str">
        <f>IF(AO34&gt;-1,"","円盤投(1.000kg)")</f>
        <v>円盤投(1.000kg)</v>
      </c>
      <c r="U24" s="22"/>
      <c r="V24" s="22"/>
      <c r="W24" s="22"/>
      <c r="X24" s="22"/>
      <c r="Y24" s="100"/>
      <c r="Z24" s="100"/>
      <c r="AA24" s="100"/>
      <c r="AB24" s="100"/>
      <c r="AC24" s="100"/>
      <c r="AD24" s="98">
        <f>IF(AC23=AD23,1,0)</f>
        <v>0</v>
      </c>
      <c r="AE24" s="98"/>
      <c r="AF24" s="147"/>
      <c r="AG24" s="100"/>
      <c r="AH24" s="43"/>
      <c r="AJ24" s="30" t="s">
        <v>136</v>
      </c>
      <c r="AK24" s="31">
        <v>5</v>
      </c>
      <c r="AL24" s="41"/>
      <c r="AM24" s="30" t="s">
        <v>132</v>
      </c>
      <c r="AN24" s="31">
        <f t="shared" si="1"/>
        <v>-5</v>
      </c>
      <c r="AO24" s="41"/>
      <c r="AR24" s="155"/>
      <c r="AS24" s="155"/>
    </row>
    <row r="25" spans="2:45" ht="27" customHeight="1" x14ac:dyDescent="0.15">
      <c r="B25" s="183">
        <f>IF(AE25&lt;1,6,"ｱｽﾘｰﾄﾋﾞﾌﾞｽが重複しています")</f>
        <v>6</v>
      </c>
      <c r="C25" s="191"/>
      <c r="D25" s="191"/>
      <c r="E25" s="38"/>
      <c r="F25" s="173"/>
      <c r="G25" s="130"/>
      <c r="H25" s="130"/>
      <c r="I25" s="105"/>
      <c r="J25" s="159" t="str">
        <f t="shared" ref="J25" si="8">IF(E25="","",IF(LEN(E25)-LEN(SUBSTITUTE(SUBSTITUTE(E25," ",),"　",))=1,"","氏名ｽﾍﾟｰｽ数"&amp;LEN(E25)-LEN(SUBSTITUTE(SUBSTITUTE(E25," ",),"　",))))</f>
        <v/>
      </c>
      <c r="K25" s="29" t="s">
        <v>149</v>
      </c>
      <c r="L25" s="101" t="s">
        <v>51</v>
      </c>
      <c r="M25" s="141">
        <f>COUNTIF($AG$15:$AH$114,M$10&amp;$K25)</f>
        <v>0</v>
      </c>
      <c r="Q25" s="1" t="str">
        <f>IF(AN29&gt;-1,"","棒高跳")</f>
        <v>棒高跳</v>
      </c>
      <c r="R25" s="1" t="str">
        <f>IF(AO30&gt;-1,"","走幅跳")</f>
        <v>走幅跳</v>
      </c>
      <c r="U25" s="22"/>
      <c r="V25" s="22"/>
      <c r="W25" s="22"/>
      <c r="X25" s="22"/>
      <c r="Y25" s="97" t="str">
        <f>IF(D25="","",C25&amp;D25)</f>
        <v/>
      </c>
      <c r="Z25" s="97">
        <f>IF(Y25="",1,Y25)</f>
        <v>1</v>
      </c>
      <c r="AA25" s="97">
        <f>IF(ISERROR(VLOOKUP(Z25,$Y$13:Y24,1,FALSE)),0,VLOOKUP(Z25,$Y$13:Y24,1,FALSE))</f>
        <v>0</v>
      </c>
      <c r="AB25" s="97" t="str">
        <f>IF(D25="","",C25&amp;D25&amp;E25)</f>
        <v/>
      </c>
      <c r="AC25" s="97">
        <f>IF(AB25="",1,AB25)</f>
        <v>1</v>
      </c>
      <c r="AD25" s="98">
        <f>IF(ISERROR(VLOOKUP(AC25,$AB$13:AB24,1,FALSE)),0,VLOOKUP(AC25,$AB$13:AB24,1,FALSE))</f>
        <v>0</v>
      </c>
      <c r="AE25" s="98">
        <f>IF(Z25=AA25,1,0)-AD26</f>
        <v>0</v>
      </c>
      <c r="AF25" s="146">
        <f>IF($B$4="中学",$B$4&amp;C25,C25)</f>
        <v>0</v>
      </c>
      <c r="AG25" s="97" t="str">
        <f>C25&amp;G25</f>
        <v/>
      </c>
      <c r="AH25" s="39" t="str">
        <f>C25&amp;H25</f>
        <v/>
      </c>
      <c r="AJ25" s="30" t="s">
        <v>149</v>
      </c>
      <c r="AK25" s="36"/>
      <c r="AL25" s="32">
        <v>5</v>
      </c>
      <c r="AM25" s="30" t="s">
        <v>149</v>
      </c>
      <c r="AN25" s="36"/>
      <c r="AO25" s="31">
        <f t="shared" si="1"/>
        <v>-5</v>
      </c>
      <c r="AR25" s="155" t="str">
        <f t="shared" si="3"/>
        <v/>
      </c>
      <c r="AS25" s="155">
        <f t="shared" si="4"/>
        <v>0</v>
      </c>
    </row>
    <row r="26" spans="2:45" ht="27" customHeight="1" x14ac:dyDescent="0.15">
      <c r="B26" s="184"/>
      <c r="C26" s="191"/>
      <c r="D26" s="191"/>
      <c r="E26" s="38"/>
      <c r="F26" s="174"/>
      <c r="G26" s="130"/>
      <c r="H26" s="130"/>
      <c r="I26" s="105"/>
      <c r="J26" s="160"/>
      <c r="K26" s="29" t="s">
        <v>148</v>
      </c>
      <c r="L26" s="140">
        <f t="shared" ref="L26:L31" si="9">COUNTIF($AG$15:$AH$114,L$10&amp;$K26)</f>
        <v>0</v>
      </c>
      <c r="M26" s="102" t="s">
        <v>51</v>
      </c>
      <c r="Q26" s="1" t="str">
        <f>IF(AN30&gt;-1,"","走幅跳")</f>
        <v>走幅跳</v>
      </c>
      <c r="R26" s="1" t="str">
        <f>IF(AO31&gt;-1,"","三段跳")</f>
        <v>三段跳</v>
      </c>
      <c r="Y26" s="100"/>
      <c r="Z26" s="100"/>
      <c r="AA26" s="100"/>
      <c r="AB26" s="100"/>
      <c r="AC26" s="100"/>
      <c r="AD26" s="98">
        <f>IF(AC25=AD25,1,0)</f>
        <v>0</v>
      </c>
      <c r="AE26" s="98"/>
      <c r="AF26" s="147"/>
      <c r="AG26" s="100"/>
      <c r="AH26" s="43"/>
      <c r="AJ26" s="30" t="s">
        <v>148</v>
      </c>
      <c r="AK26" s="31">
        <v>5</v>
      </c>
      <c r="AL26" s="41"/>
      <c r="AM26" s="30" t="s">
        <v>148</v>
      </c>
      <c r="AN26" s="31">
        <f t="shared" si="1"/>
        <v>-5</v>
      </c>
      <c r="AO26" s="41"/>
      <c r="AR26" s="155"/>
      <c r="AS26" s="155"/>
    </row>
    <row r="27" spans="2:45" ht="27" customHeight="1" x14ac:dyDescent="0.15">
      <c r="B27" s="183">
        <f>IF(AE27&lt;1,7,"ｱｽﾘｰﾄﾋﾞﾌﾞｽが重複しています")</f>
        <v>7</v>
      </c>
      <c r="C27" s="191"/>
      <c r="D27" s="191"/>
      <c r="E27" s="38"/>
      <c r="F27" s="173"/>
      <c r="G27" s="130"/>
      <c r="H27" s="130"/>
      <c r="I27" s="105"/>
      <c r="J27" s="159" t="str">
        <f t="shared" ref="J27" si="10">IF(E27="","",IF(LEN(E27)-LEN(SUBSTITUTE(SUBSTITUTE(E27," ",),"　",))=1,"","氏名ｽﾍﾟｰｽ数"&amp;LEN(E27)-LEN(SUBSTITUTE(SUBSTITUTE(E27," ",),"　",))))</f>
        <v/>
      </c>
      <c r="K27" s="29" t="s">
        <v>134</v>
      </c>
      <c r="L27" s="140">
        <f t="shared" si="9"/>
        <v>0</v>
      </c>
      <c r="M27" s="141">
        <f t="shared" ref="M27:M32" si="11">COUNTIF($AG$15:$AH$114,M$10&amp;$K27)</f>
        <v>0</v>
      </c>
      <c r="O27" s="4"/>
      <c r="Q27" s="1" t="str">
        <f>IF(AN31&gt;-1,"","三段跳")</f>
        <v>三段跳</v>
      </c>
      <c r="R27" s="1" t="str">
        <f>IF(AO32&gt;-1,"","砲丸投(4.000kg)")</f>
        <v>砲丸投(4.000kg)</v>
      </c>
      <c r="Y27" s="97" t="str">
        <f>IF(D27="","",C27&amp;D27)</f>
        <v/>
      </c>
      <c r="Z27" s="97">
        <f>IF(Y27="",1,Y27)</f>
        <v>1</v>
      </c>
      <c r="AA27" s="97">
        <f>IF(ISERROR(VLOOKUP(Z27,$Y$13:Y26,1,FALSE)),0,VLOOKUP(Z27,$Y$13:Y26,1,FALSE))</f>
        <v>0</v>
      </c>
      <c r="AB27" s="97" t="str">
        <f>IF(D27="","",C27&amp;D27&amp;E27)</f>
        <v/>
      </c>
      <c r="AC27" s="97">
        <f>IF(AB27="",1,AB27)</f>
        <v>1</v>
      </c>
      <c r="AD27" s="98">
        <f>IF(ISERROR(VLOOKUP(AC27,$AB$13:AB26,1,FALSE)),0,VLOOKUP(AC27,$AB$13:AB26,1,FALSE))</f>
        <v>0</v>
      </c>
      <c r="AE27" s="98">
        <f>IF(Z27=AA27,1,0)-AD28</f>
        <v>0</v>
      </c>
      <c r="AF27" s="146">
        <f>IF($B$4="中学",$B$4&amp;C27,C27)</f>
        <v>0</v>
      </c>
      <c r="AG27" s="97" t="str">
        <f>C27&amp;G27</f>
        <v/>
      </c>
      <c r="AH27" s="39" t="str">
        <f>C27&amp;H27</f>
        <v/>
      </c>
      <c r="AJ27" s="30" t="s">
        <v>134</v>
      </c>
      <c r="AK27" s="31">
        <v>5</v>
      </c>
      <c r="AL27" s="32">
        <v>5</v>
      </c>
      <c r="AM27" s="30" t="s">
        <v>134</v>
      </c>
      <c r="AN27" s="31">
        <f t="shared" si="1"/>
        <v>-5</v>
      </c>
      <c r="AO27" s="31">
        <f t="shared" si="1"/>
        <v>-5</v>
      </c>
      <c r="AR27" s="155" t="str">
        <f t="shared" si="3"/>
        <v/>
      </c>
      <c r="AS27" s="155">
        <f t="shared" si="4"/>
        <v>0</v>
      </c>
    </row>
    <row r="28" spans="2:45" ht="27" customHeight="1" x14ac:dyDescent="0.15">
      <c r="B28" s="184"/>
      <c r="C28" s="191"/>
      <c r="D28" s="191"/>
      <c r="E28" s="38"/>
      <c r="F28" s="174"/>
      <c r="G28" s="130"/>
      <c r="H28" s="130"/>
      <c r="I28" s="105"/>
      <c r="J28" s="160"/>
      <c r="K28" s="29" t="s">
        <v>59</v>
      </c>
      <c r="L28" s="140">
        <f t="shared" si="9"/>
        <v>0</v>
      </c>
      <c r="M28" s="141">
        <f t="shared" si="11"/>
        <v>0</v>
      </c>
      <c r="O28" s="4"/>
      <c r="Q28" s="1" t="str">
        <f>IF(AN33&gt;-1,"","砲丸投(7.260kg)")</f>
        <v>砲丸投(7.260kg)</v>
      </c>
      <c r="R28" s="1" t="str">
        <f>IF(AO34&gt;-1,"","円盤投(1.000kg)")</f>
        <v>円盤投(1.000kg)</v>
      </c>
      <c r="Y28" s="100"/>
      <c r="Z28" s="100"/>
      <c r="AA28" s="100"/>
      <c r="AB28" s="100"/>
      <c r="AC28" s="100"/>
      <c r="AD28" s="98">
        <f>IF(AC27=AD27,1,0)</f>
        <v>0</v>
      </c>
      <c r="AE28" s="98"/>
      <c r="AF28" s="147"/>
      <c r="AG28" s="100"/>
      <c r="AH28" s="43"/>
      <c r="AJ28" s="30" t="s">
        <v>59</v>
      </c>
      <c r="AK28" s="31">
        <v>5</v>
      </c>
      <c r="AL28" s="32">
        <v>5</v>
      </c>
      <c r="AM28" s="30" t="s">
        <v>59</v>
      </c>
      <c r="AN28" s="31">
        <f t="shared" si="1"/>
        <v>-5</v>
      </c>
      <c r="AO28" s="31">
        <f t="shared" si="1"/>
        <v>-5</v>
      </c>
      <c r="AR28" s="155"/>
      <c r="AS28" s="155"/>
    </row>
    <row r="29" spans="2:45" ht="27" customHeight="1" x14ac:dyDescent="0.15">
      <c r="B29" s="183">
        <f>IF(AE29&lt;1,8,"ｱｽﾘｰﾄﾋﾞﾌﾞｽが重複しています")</f>
        <v>8</v>
      </c>
      <c r="C29" s="191"/>
      <c r="D29" s="191"/>
      <c r="E29" s="38"/>
      <c r="F29" s="173"/>
      <c r="G29" s="130"/>
      <c r="H29" s="130"/>
      <c r="I29" s="105"/>
      <c r="J29" s="159" t="str">
        <f t="shared" ref="J29" si="12">IF(E29="","",IF(LEN(E29)-LEN(SUBSTITUTE(SUBSTITUTE(E29," ",),"　",))=1,"","氏名ｽﾍﾟｰｽ数"&amp;LEN(E29)-LEN(SUBSTITUTE(SUBSTITUTE(E29," ",),"　",))))</f>
        <v/>
      </c>
      <c r="K29" s="29" t="s">
        <v>135</v>
      </c>
      <c r="L29" s="140">
        <f t="shared" si="9"/>
        <v>0</v>
      </c>
      <c r="M29" s="141">
        <f t="shared" si="11"/>
        <v>0</v>
      </c>
      <c r="O29" s="4"/>
      <c r="Q29" s="1" t="str">
        <f>IF(AN35&gt;-1,"","円盤投(2.000kg)")</f>
        <v>円盤投(2.000kg)</v>
      </c>
      <c r="R29" s="1" t="str">
        <f>IF(AO36&gt;-1,"","やり投(600g)")</f>
        <v>やり投(600g)</v>
      </c>
      <c r="Y29" s="97" t="str">
        <f>IF(D29="","",C29&amp;D29)</f>
        <v/>
      </c>
      <c r="Z29" s="97">
        <f>IF(Y29="",1,Y29)</f>
        <v>1</v>
      </c>
      <c r="AA29" s="97">
        <f>IF(ISERROR(VLOOKUP(Z29,$Y$13:Y28,1,FALSE)),0,VLOOKUP(Z29,$Y$13:Y28,1,FALSE))</f>
        <v>0</v>
      </c>
      <c r="AB29" s="97" t="str">
        <f>IF(D29="","",C29&amp;D29&amp;E29)</f>
        <v/>
      </c>
      <c r="AC29" s="97">
        <f>IF(AB29="",1,AB29)</f>
        <v>1</v>
      </c>
      <c r="AD29" s="98">
        <f>IF(ISERROR(VLOOKUP(AC29,$AB$13:AB28,1,FALSE)),0,VLOOKUP(AC29,$AB$13:AB28,1,FALSE))</f>
        <v>0</v>
      </c>
      <c r="AE29" s="98">
        <f>IF(Z29=AA29,1,0)-AD30</f>
        <v>0</v>
      </c>
      <c r="AF29" s="146">
        <f>IF($B$4="中学",$B$4&amp;C29,C29)</f>
        <v>0</v>
      </c>
      <c r="AG29" s="97" t="str">
        <f>C29&amp;G29</f>
        <v/>
      </c>
      <c r="AH29" s="39" t="str">
        <f>C29&amp;H29</f>
        <v/>
      </c>
      <c r="AJ29" s="30" t="s">
        <v>135</v>
      </c>
      <c r="AK29" s="31">
        <v>5</v>
      </c>
      <c r="AL29" s="32">
        <v>5</v>
      </c>
      <c r="AM29" s="30" t="s">
        <v>135</v>
      </c>
      <c r="AN29" s="31">
        <f t="shared" si="1"/>
        <v>-5</v>
      </c>
      <c r="AO29" s="31">
        <f t="shared" si="1"/>
        <v>-5</v>
      </c>
      <c r="AR29" s="155" t="str">
        <f t="shared" si="3"/>
        <v/>
      </c>
      <c r="AS29" s="155">
        <f t="shared" si="4"/>
        <v>0</v>
      </c>
    </row>
    <row r="30" spans="2:45" ht="27" customHeight="1" x14ac:dyDescent="0.15">
      <c r="B30" s="184"/>
      <c r="C30" s="191"/>
      <c r="D30" s="191"/>
      <c r="E30" s="38"/>
      <c r="F30" s="174"/>
      <c r="G30" s="130"/>
      <c r="H30" s="130"/>
      <c r="I30" s="105"/>
      <c r="J30" s="160"/>
      <c r="K30" s="29" t="s">
        <v>55</v>
      </c>
      <c r="L30" s="140">
        <f t="shared" si="9"/>
        <v>0</v>
      </c>
      <c r="M30" s="141">
        <f t="shared" si="11"/>
        <v>0</v>
      </c>
      <c r="O30" s="4"/>
      <c r="Q30" s="1" t="str">
        <f>IF(AN37&gt;-1,"","やり投(800g)")</f>
        <v>やり投(800g)</v>
      </c>
      <c r="R30" s="1" t="str">
        <f>IF(AO38&gt;-1,"","ハンマー投(4.000kg)")</f>
        <v>ハンマー投(4.000kg)</v>
      </c>
      <c r="Y30" s="100"/>
      <c r="Z30" s="100"/>
      <c r="AA30" s="100"/>
      <c r="AB30" s="100"/>
      <c r="AC30" s="100"/>
      <c r="AD30" s="98">
        <f>IF(AC29=AD29,1,0)</f>
        <v>0</v>
      </c>
      <c r="AE30" s="98"/>
      <c r="AF30" s="147"/>
      <c r="AG30" s="100"/>
      <c r="AH30" s="43"/>
      <c r="AJ30" s="30" t="s">
        <v>55</v>
      </c>
      <c r="AK30" s="31">
        <v>5</v>
      </c>
      <c r="AL30" s="32">
        <v>5</v>
      </c>
      <c r="AM30" s="30" t="s">
        <v>55</v>
      </c>
      <c r="AN30" s="31">
        <f t="shared" ref="AN30:AO32" si="13">L30-AK30</f>
        <v>-5</v>
      </c>
      <c r="AO30" s="31">
        <f t="shared" si="13"/>
        <v>-5</v>
      </c>
      <c r="AR30" s="155"/>
      <c r="AS30" s="155"/>
    </row>
    <row r="31" spans="2:45" ht="27" customHeight="1" x14ac:dyDescent="0.15">
      <c r="B31" s="183">
        <f>IF(AE31&lt;1,9,"ｱｽﾘｰﾄﾋﾞﾌﾞｽが重複しています")</f>
        <v>9</v>
      </c>
      <c r="C31" s="191"/>
      <c r="D31" s="191"/>
      <c r="E31" s="38"/>
      <c r="F31" s="173"/>
      <c r="G31" s="130"/>
      <c r="H31" s="130"/>
      <c r="I31" s="105"/>
      <c r="J31" s="159" t="str">
        <f t="shared" ref="J31" si="14">IF(E31="","",IF(LEN(E31)-LEN(SUBSTITUTE(SUBSTITUTE(E31," ",),"　",))=1,"","氏名ｽﾍﾟｰｽ数"&amp;LEN(E31)-LEN(SUBSTITUTE(SUBSTITUTE(E31," ",),"　",))))</f>
        <v/>
      </c>
      <c r="K31" s="29" t="s">
        <v>117</v>
      </c>
      <c r="L31" s="140">
        <f t="shared" si="9"/>
        <v>0</v>
      </c>
      <c r="M31" s="141">
        <f t="shared" si="11"/>
        <v>0</v>
      </c>
      <c r="O31" s="4"/>
      <c r="Q31" s="1" t="str">
        <f>IF(AN39&gt;-1,"","ハンマー投(7.260kg)")</f>
        <v>ハンマー投(7.260kg)</v>
      </c>
      <c r="Y31" s="97" t="str">
        <f>IF(D31="","",C31&amp;D31)</f>
        <v/>
      </c>
      <c r="Z31" s="97">
        <f>IF(Y31="",1,Y31)</f>
        <v>1</v>
      </c>
      <c r="AA31" s="97">
        <f>IF(ISERROR(VLOOKUP(Z31,$Y$13:Y30,1,FALSE)),0,VLOOKUP(Z31,$Y$13:Y30,1,FALSE))</f>
        <v>0</v>
      </c>
      <c r="AB31" s="97" t="str">
        <f>IF(D31="","",C31&amp;D31&amp;E31)</f>
        <v/>
      </c>
      <c r="AC31" s="97">
        <f>IF(AB31="",1,AB31)</f>
        <v>1</v>
      </c>
      <c r="AD31" s="98">
        <f>IF(ISERROR(VLOOKUP(AC31,$AB$13:AB30,1,FALSE)),0,VLOOKUP(AC31,$AB$13:AB30,1,FALSE))</f>
        <v>0</v>
      </c>
      <c r="AE31" s="98">
        <f>IF(Z31=AA31,1,0)-AD32</f>
        <v>0</v>
      </c>
      <c r="AF31" s="146">
        <f>IF($B$4="中学",$B$4&amp;C31,C31)</f>
        <v>0</v>
      </c>
      <c r="AG31" s="97" t="str">
        <f>C31&amp;G31</f>
        <v/>
      </c>
      <c r="AH31" s="39" t="str">
        <f>C31&amp;H31</f>
        <v/>
      </c>
      <c r="AJ31" s="30" t="s">
        <v>117</v>
      </c>
      <c r="AK31" s="31">
        <v>5</v>
      </c>
      <c r="AL31" s="32">
        <v>5</v>
      </c>
      <c r="AM31" s="30" t="s">
        <v>117</v>
      </c>
      <c r="AN31" s="31">
        <f t="shared" si="13"/>
        <v>-5</v>
      </c>
      <c r="AO31" s="31">
        <f t="shared" si="13"/>
        <v>-5</v>
      </c>
      <c r="AR31" s="155" t="str">
        <f t="shared" si="3"/>
        <v/>
      </c>
      <c r="AS31" s="155">
        <f t="shared" si="4"/>
        <v>0</v>
      </c>
    </row>
    <row r="32" spans="2:45" ht="27" customHeight="1" x14ac:dyDescent="0.15">
      <c r="B32" s="184"/>
      <c r="C32" s="191"/>
      <c r="D32" s="191"/>
      <c r="E32" s="38"/>
      <c r="F32" s="174"/>
      <c r="G32" s="130"/>
      <c r="H32" s="130"/>
      <c r="I32" s="105"/>
      <c r="J32" s="160"/>
      <c r="K32" s="29" t="s">
        <v>56</v>
      </c>
      <c r="L32" s="101" t="s">
        <v>51</v>
      </c>
      <c r="M32" s="141">
        <f t="shared" si="11"/>
        <v>0</v>
      </c>
      <c r="N32" s="1"/>
      <c r="O32" s="4"/>
      <c r="Y32" s="100"/>
      <c r="Z32" s="100"/>
      <c r="AA32" s="100"/>
      <c r="AB32" s="100"/>
      <c r="AC32" s="100"/>
      <c r="AD32" s="98">
        <f>IF(AC31=AD31,1,0)</f>
        <v>0</v>
      </c>
      <c r="AE32" s="98"/>
      <c r="AF32" s="147"/>
      <c r="AG32" s="100"/>
      <c r="AH32" s="43"/>
      <c r="AJ32" s="30" t="s">
        <v>56</v>
      </c>
      <c r="AK32" s="36"/>
      <c r="AL32" s="32">
        <v>5</v>
      </c>
      <c r="AM32" s="30" t="s">
        <v>56</v>
      </c>
      <c r="AN32" s="36"/>
      <c r="AO32" s="31">
        <f t="shared" si="13"/>
        <v>-5</v>
      </c>
      <c r="AR32" s="155"/>
      <c r="AS32" s="155"/>
    </row>
    <row r="33" spans="1:45" ht="27" customHeight="1" thickBot="1" x14ac:dyDescent="0.2">
      <c r="B33" s="232">
        <f>IF(AE33&lt;1,10,"ｱｽﾘｰﾄﾋﾞﾌﾞｽが重複しています")</f>
        <v>10</v>
      </c>
      <c r="C33" s="191"/>
      <c r="D33" s="191"/>
      <c r="E33" s="38"/>
      <c r="F33" s="173"/>
      <c r="G33" s="150"/>
      <c r="H33" s="150"/>
      <c r="I33" s="105"/>
      <c r="J33" s="159" t="str">
        <f t="shared" ref="J33" si="15">IF(E33="","",IF(LEN(E33)-LEN(SUBSTITUTE(SUBSTITUTE(E33," ",),"　",))=1,"","氏名ｽﾍﾟｰｽ数"&amp;LEN(E33)-LEN(SUBSTITUTE(SUBSTITUTE(E33," ",),"　",))))</f>
        <v/>
      </c>
      <c r="K33" s="29" t="s">
        <v>60</v>
      </c>
      <c r="L33" s="140">
        <f>COUNTIF($AG$15:$AH$114,L$10&amp;$K33)</f>
        <v>0</v>
      </c>
      <c r="M33" s="102" t="s">
        <v>79</v>
      </c>
      <c r="N33" s="1"/>
      <c r="Y33" s="97" t="str">
        <f>IF(D33="","",C33&amp;D33)</f>
        <v/>
      </c>
      <c r="Z33" s="97">
        <f>IF(Y33="",1,Y33)</f>
        <v>1</v>
      </c>
      <c r="AA33" s="97">
        <f>IF(ISERROR(VLOOKUP(Z33,$Y$13:Y32,1,FALSE)),0,VLOOKUP(Z33,$Y$13:Y32,1,FALSE))</f>
        <v>0</v>
      </c>
      <c r="AB33" s="97" t="str">
        <f>IF(D33="","",C33&amp;D33&amp;E33)</f>
        <v/>
      </c>
      <c r="AC33" s="97">
        <f>IF(AB33="",1,AB33)</f>
        <v>1</v>
      </c>
      <c r="AD33" s="98">
        <f>IF(ISERROR(VLOOKUP(AC33,$AB$13:AB32,1,FALSE)),0,VLOOKUP(AC33,$AB$13:AB32,1,FALSE))</f>
        <v>0</v>
      </c>
      <c r="AE33" s="98">
        <f>IF(Z33=AA33,1,0)-AD34</f>
        <v>0</v>
      </c>
      <c r="AF33" s="146">
        <f>IF($B$4="中学",$B$4&amp;C33,C33)</f>
        <v>0</v>
      </c>
      <c r="AG33" s="97" t="str">
        <f>C33&amp;G33</f>
        <v/>
      </c>
      <c r="AH33" s="39" t="str">
        <f>C33&amp;H33</f>
        <v/>
      </c>
      <c r="AJ33" s="30" t="s">
        <v>60</v>
      </c>
      <c r="AK33" s="31">
        <v>5</v>
      </c>
      <c r="AL33" s="41"/>
      <c r="AM33" s="30" t="s">
        <v>60</v>
      </c>
      <c r="AN33" s="31">
        <f t="shared" ref="AN33" si="16">L33-AK33</f>
        <v>-5</v>
      </c>
      <c r="AO33" s="41"/>
      <c r="AR33" s="155" t="str">
        <f t="shared" si="3"/>
        <v/>
      </c>
      <c r="AS33" s="155">
        <f t="shared" si="4"/>
        <v>0</v>
      </c>
    </row>
    <row r="34" spans="1:45" ht="27" customHeight="1" thickBot="1" x14ac:dyDescent="0.2">
      <c r="B34" s="233"/>
      <c r="C34" s="234"/>
      <c r="D34" s="234"/>
      <c r="E34" s="50"/>
      <c r="F34" s="175"/>
      <c r="G34" s="152"/>
      <c r="H34" s="152"/>
      <c r="I34" s="106"/>
      <c r="J34" s="160"/>
      <c r="K34" s="29" t="s">
        <v>114</v>
      </c>
      <c r="L34" s="101" t="s">
        <v>51</v>
      </c>
      <c r="M34" s="141">
        <f>COUNTIF($AG$15:$AH$114,M$10&amp;$K34)</f>
        <v>0</v>
      </c>
      <c r="N34" s="1"/>
      <c r="O34" s="4"/>
      <c r="Y34" s="100"/>
      <c r="Z34" s="100"/>
      <c r="AA34" s="100"/>
      <c r="AB34" s="100"/>
      <c r="AC34" s="100"/>
      <c r="AD34" s="98">
        <f>IF(AC33=AD33,1,0)</f>
        <v>0</v>
      </c>
      <c r="AE34" s="98"/>
      <c r="AF34" s="147"/>
      <c r="AG34" s="100"/>
      <c r="AH34" s="43"/>
      <c r="AJ34" s="30" t="s">
        <v>112</v>
      </c>
      <c r="AK34" s="36"/>
      <c r="AL34" s="32">
        <v>5</v>
      </c>
      <c r="AM34" s="30" t="s">
        <v>112</v>
      </c>
      <c r="AN34" s="36"/>
      <c r="AO34" s="31">
        <f t="shared" ref="AO34" si="17">M34-AL34</f>
        <v>-5</v>
      </c>
      <c r="AR34" s="155"/>
      <c r="AS34" s="155"/>
    </row>
    <row r="35" spans="1:45" ht="27" customHeight="1" thickBot="1" x14ac:dyDescent="0.2">
      <c r="A35" s="37">
        <f>COUNTA(E35,E37,E39,E41,E43,E45,E47,E49,E51,E53)</f>
        <v>0</v>
      </c>
      <c r="B35" s="233">
        <f>IF(AE35&lt;1,11,"ｱｽﾘｰﾄﾋﾞﾌﾞｽが重複しています")</f>
        <v>11</v>
      </c>
      <c r="C35" s="174"/>
      <c r="D35" s="174"/>
      <c r="E35" s="134"/>
      <c r="F35" s="176"/>
      <c r="G35" s="151"/>
      <c r="H35" s="151"/>
      <c r="I35" s="133"/>
      <c r="J35" s="159" t="str">
        <f t="shared" ref="J35" si="18">IF(E35="","",IF(LEN(E35)-LEN(SUBSTITUTE(SUBSTITUTE(E35," ",),"　",))=1,"","氏名ｽﾍﾟｰｽ数"&amp;LEN(E35)-LEN(SUBSTITUTE(SUBSTITUTE(E35," ",),"　",))))</f>
        <v/>
      </c>
      <c r="K35" s="29" t="s">
        <v>113</v>
      </c>
      <c r="L35" s="140">
        <f>COUNTIF($AG$15:$AH$114,L$10&amp;$K35)</f>
        <v>0</v>
      </c>
      <c r="M35" s="102" t="s">
        <v>51</v>
      </c>
      <c r="N35" s="1"/>
      <c r="Y35" s="97" t="str">
        <f>IF(D35="","",C35&amp;D35)</f>
        <v/>
      </c>
      <c r="Z35" s="97">
        <f>IF(Y35="",1,Y35)</f>
        <v>1</v>
      </c>
      <c r="AA35" s="97">
        <f>IF(ISERROR(VLOOKUP(Z35,$Y$13:Y34,1,FALSE)),0,VLOOKUP(Z35,$Y$13:Y34,1,FALSE))</f>
        <v>0</v>
      </c>
      <c r="AB35" s="97" t="str">
        <f>IF(D35="","",C35&amp;D35&amp;E35)</f>
        <v/>
      </c>
      <c r="AC35" s="97">
        <f>IF(AB35="",1,AB35)</f>
        <v>1</v>
      </c>
      <c r="AD35" s="98">
        <f>IF(ISERROR(VLOOKUP(AC35,$AB$13:AB34,1,FALSE)),0,VLOOKUP(AC35,$AB$13:AB34,1,FALSE))</f>
        <v>0</v>
      </c>
      <c r="AE35" s="98">
        <f>IF(Z35=AA35,1,0)-AD36</f>
        <v>0</v>
      </c>
      <c r="AF35" s="146">
        <f>IF($B$4="中学",$B$4&amp;C35,C35)</f>
        <v>0</v>
      </c>
      <c r="AG35" s="97" t="str">
        <f>C35&amp;G35</f>
        <v/>
      </c>
      <c r="AH35" s="39" t="str">
        <f>C35&amp;H35</f>
        <v/>
      </c>
      <c r="AJ35" s="30" t="s">
        <v>111</v>
      </c>
      <c r="AK35" s="31">
        <v>5</v>
      </c>
      <c r="AL35" s="41"/>
      <c r="AM35" s="30" t="s">
        <v>111</v>
      </c>
      <c r="AN35" s="31">
        <f t="shared" ref="AN35" si="19">L35-AK35</f>
        <v>-5</v>
      </c>
      <c r="AO35" s="41"/>
      <c r="AR35" s="155" t="str">
        <f t="shared" si="3"/>
        <v/>
      </c>
      <c r="AS35" s="155">
        <f t="shared" si="4"/>
        <v>0</v>
      </c>
    </row>
    <row r="36" spans="1:45" ht="27" customHeight="1" x14ac:dyDescent="0.15">
      <c r="A36" s="42">
        <f>COUNTA(G35:I35,G37:I37,G39:I39,G41:I41,G43:I43,G45:I45,G47:I47,G49:I49,G51:I51,G53:I53)</f>
        <v>0</v>
      </c>
      <c r="B36" s="235"/>
      <c r="C36" s="191"/>
      <c r="D36" s="191"/>
      <c r="E36" s="38"/>
      <c r="F36" s="174"/>
      <c r="G36" s="150"/>
      <c r="H36" s="150"/>
      <c r="I36" s="105"/>
      <c r="J36" s="160"/>
      <c r="K36" s="29" t="s">
        <v>150</v>
      </c>
      <c r="L36" s="101" t="s">
        <v>51</v>
      </c>
      <c r="M36" s="141">
        <f>COUNTIF($AG$15:$AH$114,M$10&amp;$K36)</f>
        <v>0</v>
      </c>
      <c r="N36" s="1"/>
      <c r="Y36" s="100"/>
      <c r="Z36" s="100"/>
      <c r="AA36" s="100"/>
      <c r="AB36" s="100"/>
      <c r="AC36" s="100"/>
      <c r="AD36" s="98">
        <f>IF(AC35=AD35,1,0)</f>
        <v>0</v>
      </c>
      <c r="AE36" s="98"/>
      <c r="AF36" s="147"/>
      <c r="AG36" s="100"/>
      <c r="AH36" s="43"/>
      <c r="AJ36" s="30" t="s">
        <v>150</v>
      </c>
      <c r="AK36" s="36"/>
      <c r="AL36" s="32">
        <v>5</v>
      </c>
      <c r="AM36" s="30" t="s">
        <v>150</v>
      </c>
      <c r="AN36" s="36"/>
      <c r="AO36" s="31">
        <f t="shared" ref="AO36" si="20">M36-AL36</f>
        <v>-5</v>
      </c>
      <c r="AR36" s="155"/>
      <c r="AS36" s="155"/>
    </row>
    <row r="37" spans="1:45" ht="27" customHeight="1" x14ac:dyDescent="0.15">
      <c r="B37" s="183">
        <f>IF(AE37&lt;1,12,"ｱｽﾘｰﾄﾋﾞﾌﾞｽが重複しています")</f>
        <v>12</v>
      </c>
      <c r="C37" s="191"/>
      <c r="D37" s="191"/>
      <c r="E37" s="38"/>
      <c r="F37" s="173"/>
      <c r="G37" s="130"/>
      <c r="H37" s="130"/>
      <c r="I37" s="105"/>
      <c r="J37" s="159" t="str">
        <f t="shared" ref="J37" si="21">IF(E37="","",IF(LEN(E37)-LEN(SUBSTITUTE(SUBSTITUTE(E37," ",),"　",))=1,"","氏名ｽﾍﾟｰｽ数"&amp;LEN(E37)-LEN(SUBSTITUTE(SUBSTITUTE(E37," ",),"　",))))</f>
        <v/>
      </c>
      <c r="K37" s="29" t="s">
        <v>151</v>
      </c>
      <c r="L37" s="140">
        <f>COUNTIF($AG$15:$AH$114,L$10&amp;$K37)</f>
        <v>0</v>
      </c>
      <c r="M37" s="102" t="s">
        <v>51</v>
      </c>
      <c r="N37" s="1"/>
      <c r="Y37" s="97" t="str">
        <f>IF(D37="","",C37&amp;D37)</f>
        <v/>
      </c>
      <c r="Z37" s="97">
        <f>IF(Y37="",1,Y37)</f>
        <v>1</v>
      </c>
      <c r="AA37" s="97">
        <f>IF(ISERROR(VLOOKUP(Z37,$Y$13:Y36,1,FALSE)),0,VLOOKUP(Z37,$Y$13:Y36,1,FALSE))</f>
        <v>0</v>
      </c>
      <c r="AB37" s="97" t="str">
        <f>IF(D37="","",C37&amp;D37&amp;E37)</f>
        <v/>
      </c>
      <c r="AC37" s="97">
        <f>IF(AB37="",1,AB37)</f>
        <v>1</v>
      </c>
      <c r="AD37" s="98">
        <f>IF(ISERROR(VLOOKUP(AC37,$AB$13:AB36,1,FALSE)),0,VLOOKUP(AC37,$AB$13:AB36,1,FALSE))</f>
        <v>0</v>
      </c>
      <c r="AE37" s="98">
        <f>IF(Z37=AA37,1,0)-AD38</f>
        <v>0</v>
      </c>
      <c r="AF37" s="146">
        <f>IF($B$4="中学",$B$4&amp;C37,C37)</f>
        <v>0</v>
      </c>
      <c r="AG37" s="97" t="str">
        <f>C37&amp;G37</f>
        <v/>
      </c>
      <c r="AH37" s="39" t="str">
        <f>C37&amp;H37</f>
        <v/>
      </c>
      <c r="AJ37" s="30" t="s">
        <v>151</v>
      </c>
      <c r="AK37" s="31">
        <v>5</v>
      </c>
      <c r="AL37" s="41"/>
      <c r="AM37" s="30" t="s">
        <v>151</v>
      </c>
      <c r="AN37" s="31">
        <f t="shared" ref="AN37" si="22">L37-AK37</f>
        <v>-5</v>
      </c>
      <c r="AO37" s="41"/>
      <c r="AR37" s="155" t="str">
        <f t="shared" si="3"/>
        <v/>
      </c>
      <c r="AS37" s="155">
        <f t="shared" si="4"/>
        <v>0</v>
      </c>
    </row>
    <row r="38" spans="1:45" ht="27" customHeight="1" x14ac:dyDescent="0.15">
      <c r="B38" s="184"/>
      <c r="C38" s="191"/>
      <c r="D38" s="191"/>
      <c r="E38" s="38"/>
      <c r="F38" s="174"/>
      <c r="G38" s="130"/>
      <c r="H38" s="130"/>
      <c r="I38" s="105"/>
      <c r="J38" s="160"/>
      <c r="K38" s="135" t="s">
        <v>139</v>
      </c>
      <c r="L38" s="136" t="s">
        <v>79</v>
      </c>
      <c r="M38" s="141">
        <f>COUNTIF($AG$15:$AH$114,M$10&amp;$K38)</f>
        <v>0</v>
      </c>
      <c r="N38" s="1"/>
      <c r="Y38" s="100"/>
      <c r="Z38" s="100"/>
      <c r="AA38" s="100"/>
      <c r="AB38" s="100"/>
      <c r="AC38" s="100"/>
      <c r="AD38" s="98">
        <f>IF(AC37=AD37,1,0)</f>
        <v>0</v>
      </c>
      <c r="AE38" s="98"/>
      <c r="AF38" s="147"/>
      <c r="AG38" s="100"/>
      <c r="AH38" s="43"/>
      <c r="AJ38" s="137" t="s">
        <v>138</v>
      </c>
      <c r="AK38" s="138"/>
      <c r="AL38" s="139">
        <v>5</v>
      </c>
      <c r="AM38" s="137" t="s">
        <v>138</v>
      </c>
      <c r="AN38" s="138"/>
      <c r="AO38" s="31">
        <f t="shared" ref="AO38" si="23">M38-AL38</f>
        <v>-5</v>
      </c>
      <c r="AR38" s="155"/>
      <c r="AS38" s="155"/>
    </row>
    <row r="39" spans="1:45" ht="27" customHeight="1" thickBot="1" x14ac:dyDescent="0.2">
      <c r="B39" s="183">
        <f>IF(AE39&lt;1,13,"ｱｽﾘｰﾄﾋﾞﾌﾞｽが重複しています")</f>
        <v>13</v>
      </c>
      <c r="C39" s="191"/>
      <c r="D39" s="191"/>
      <c r="E39" s="38"/>
      <c r="F39" s="173"/>
      <c r="G39" s="130"/>
      <c r="H39" s="130"/>
      <c r="I39" s="105"/>
      <c r="J39" s="159" t="str">
        <f t="shared" ref="J39" si="24">IF(E39="","",IF(LEN(E39)-LEN(SUBSTITUTE(SUBSTITUTE(E39," ",),"　",))=1,"","氏名ｽﾍﾟｰｽ数"&amp;LEN(E39)-LEN(SUBSTITUTE(SUBSTITUTE(E39," ",),"　",))))</f>
        <v/>
      </c>
      <c r="K39" s="46" t="s">
        <v>141</v>
      </c>
      <c r="L39" s="142">
        <f>COUNTIF($AG$15:$AH$114,L$10&amp;$K39)</f>
        <v>0</v>
      </c>
      <c r="M39" s="103" t="s">
        <v>79</v>
      </c>
      <c r="N39" s="1"/>
      <c r="Y39" s="97" t="str">
        <f>IF(D39="","",C39&amp;D39)</f>
        <v/>
      </c>
      <c r="Z39" s="97">
        <f>IF(Y39="",1,Y39)</f>
        <v>1</v>
      </c>
      <c r="AA39" s="97">
        <f>IF(ISERROR(VLOOKUP(Z39,$Y$13:Y38,1,FALSE)),0,VLOOKUP(Z39,$Y$13:Y38,1,FALSE))</f>
        <v>0</v>
      </c>
      <c r="AB39" s="97" t="str">
        <f>IF(D39="","",C39&amp;D39&amp;E39)</f>
        <v/>
      </c>
      <c r="AC39" s="97">
        <f>IF(AB39="",1,AB39)</f>
        <v>1</v>
      </c>
      <c r="AD39" s="98">
        <f>IF(ISERROR(VLOOKUP(AC39,$AB$13:AB38,1,FALSE)),0,VLOOKUP(AC39,$AB$13:AB38,1,FALSE))</f>
        <v>0</v>
      </c>
      <c r="AE39" s="98">
        <f>IF(Z39=AA39,1,0)-AD40</f>
        <v>0</v>
      </c>
      <c r="AF39" s="146">
        <f>IF($B$4="中学",$B$4&amp;C39,C39)</f>
        <v>0</v>
      </c>
      <c r="AG39" s="97" t="str">
        <f>C39&amp;G39</f>
        <v/>
      </c>
      <c r="AH39" s="39" t="str">
        <f>C39&amp;H39</f>
        <v/>
      </c>
      <c r="AJ39" s="47" t="s">
        <v>140</v>
      </c>
      <c r="AK39" s="48">
        <v>5</v>
      </c>
      <c r="AL39" s="49"/>
      <c r="AM39" s="47" t="s">
        <v>140</v>
      </c>
      <c r="AN39" s="31">
        <f t="shared" ref="AN39" si="25">L39-AK39</f>
        <v>-5</v>
      </c>
      <c r="AO39" s="49"/>
      <c r="AR39" s="155" t="str">
        <f t="shared" si="3"/>
        <v/>
      </c>
      <c r="AS39" s="155">
        <f t="shared" si="4"/>
        <v>0</v>
      </c>
    </row>
    <row r="40" spans="1:45" ht="27" customHeight="1" x14ac:dyDescent="0.15">
      <c r="B40" s="184"/>
      <c r="C40" s="191"/>
      <c r="D40" s="191"/>
      <c r="E40" s="38"/>
      <c r="F40" s="174"/>
      <c r="G40" s="130"/>
      <c r="H40" s="130"/>
      <c r="I40" s="105"/>
      <c r="J40" s="160"/>
      <c r="N40" s="51"/>
      <c r="Y40" s="100"/>
      <c r="Z40" s="100"/>
      <c r="AA40" s="100"/>
      <c r="AB40" s="100"/>
      <c r="AC40" s="100"/>
      <c r="AD40" s="98">
        <f>IF(AC39=AD39,1,0)</f>
        <v>0</v>
      </c>
      <c r="AE40" s="98"/>
      <c r="AF40" s="147"/>
      <c r="AG40" s="100"/>
      <c r="AH40" s="43"/>
      <c r="AR40" s="155"/>
      <c r="AS40" s="155"/>
    </row>
    <row r="41" spans="1:45" ht="27" customHeight="1" x14ac:dyDescent="0.15">
      <c r="B41" s="183">
        <f>IF(AE41&lt;1,14,"ｱｽﾘｰﾄﾋﾞﾌﾞｽが重複しています")</f>
        <v>14</v>
      </c>
      <c r="C41" s="191"/>
      <c r="D41" s="191"/>
      <c r="E41" s="38"/>
      <c r="F41" s="173"/>
      <c r="G41" s="130"/>
      <c r="H41" s="130"/>
      <c r="I41" s="105"/>
      <c r="J41" s="159" t="str">
        <f t="shared" ref="J41" si="26">IF(E41="","",IF(LEN(E41)-LEN(SUBSTITUTE(SUBSTITUTE(E41," ",),"　",))=1,"","氏名ｽﾍﾟｰｽ数"&amp;LEN(E41)-LEN(SUBSTITUTE(SUBSTITUTE(E41," ",),"　",))))</f>
        <v/>
      </c>
      <c r="N41" s="52"/>
      <c r="Y41" s="97" t="str">
        <f>IF(D41="","",C41&amp;D41)</f>
        <v/>
      </c>
      <c r="Z41" s="97">
        <f>IF(Y41="",1,Y41)</f>
        <v>1</v>
      </c>
      <c r="AA41" s="97">
        <f>IF(ISERROR(VLOOKUP(Z41,$Y$13:Y40,1,FALSE)),0,VLOOKUP(Z41,$Y$13:Y40,1,FALSE))</f>
        <v>0</v>
      </c>
      <c r="AB41" s="97" t="str">
        <f>IF(D41="","",C41&amp;D41&amp;E41)</f>
        <v/>
      </c>
      <c r="AC41" s="97">
        <f>IF(AB41="",1,AB41)</f>
        <v>1</v>
      </c>
      <c r="AD41" s="98">
        <f>IF(ISERROR(VLOOKUP(AC41,$AB$13:AB40,1,FALSE)),0,VLOOKUP(AC41,$AB$13:AB40,1,FALSE))</f>
        <v>0</v>
      </c>
      <c r="AE41" s="98">
        <f>IF(Z41=AA41,1,0)-AD42</f>
        <v>0</v>
      </c>
      <c r="AF41" s="146">
        <f>IF($B$4="中学",$B$4&amp;C41,C41)</f>
        <v>0</v>
      </c>
      <c r="AG41" s="97" t="str">
        <f>C41&amp;G41</f>
        <v/>
      </c>
      <c r="AH41" s="39" t="str">
        <f>C41&amp;H41</f>
        <v/>
      </c>
      <c r="AR41" s="155" t="str">
        <f t="shared" si="3"/>
        <v/>
      </c>
      <c r="AS41" s="155">
        <f t="shared" si="4"/>
        <v>0</v>
      </c>
    </row>
    <row r="42" spans="1:45" ht="27" customHeight="1" x14ac:dyDescent="0.15">
      <c r="B42" s="184"/>
      <c r="C42" s="191"/>
      <c r="D42" s="191"/>
      <c r="E42" s="38"/>
      <c r="F42" s="174"/>
      <c r="G42" s="130"/>
      <c r="H42" s="130"/>
      <c r="I42" s="105"/>
      <c r="J42" s="160"/>
      <c r="N42" s="52"/>
      <c r="Y42" s="100"/>
      <c r="Z42" s="100"/>
      <c r="AA42" s="100"/>
      <c r="AB42" s="100"/>
      <c r="AC42" s="100"/>
      <c r="AD42" s="98">
        <f>IF(AC41=AD41,1,0)</f>
        <v>0</v>
      </c>
      <c r="AE42" s="98"/>
      <c r="AF42" s="147"/>
      <c r="AG42" s="100"/>
      <c r="AH42" s="43"/>
      <c r="AR42" s="155"/>
      <c r="AS42" s="155"/>
    </row>
    <row r="43" spans="1:45" ht="27" customHeight="1" x14ac:dyDescent="0.15">
      <c r="B43" s="183">
        <f>IF(AE43&lt;1,15,"ｱｽﾘｰﾄﾋﾞﾌﾞｽが重複しています")</f>
        <v>15</v>
      </c>
      <c r="C43" s="191"/>
      <c r="D43" s="191"/>
      <c r="E43" s="38"/>
      <c r="F43" s="173"/>
      <c r="G43" s="130"/>
      <c r="H43" s="130"/>
      <c r="I43" s="105"/>
      <c r="J43" s="159" t="str">
        <f t="shared" ref="J43" si="27">IF(E43="","",IF(LEN(E43)-LEN(SUBSTITUTE(SUBSTITUTE(E43," ",),"　",))=1,"","氏名ｽﾍﾟｰｽ数"&amp;LEN(E43)-LEN(SUBSTITUTE(SUBSTITUTE(E43," ",),"　",))))</f>
        <v/>
      </c>
      <c r="N43" s="51"/>
      <c r="Y43" s="97" t="str">
        <f>IF(D43="","",C43&amp;D43)</f>
        <v/>
      </c>
      <c r="Z43" s="97">
        <f>IF(Y43="",1,Y43)</f>
        <v>1</v>
      </c>
      <c r="AA43" s="97">
        <f>IF(ISERROR(VLOOKUP(Z43,$Y$13:Y42,1,FALSE)),0,VLOOKUP(Z43,$Y$13:Y42,1,FALSE))</f>
        <v>0</v>
      </c>
      <c r="AB43" s="97" t="str">
        <f>IF(D43="","",C43&amp;D43&amp;E43)</f>
        <v/>
      </c>
      <c r="AC43" s="97">
        <f>IF(AB43="",1,AB43)</f>
        <v>1</v>
      </c>
      <c r="AD43" s="98">
        <f>IF(ISERROR(VLOOKUP(AC43,$AB$13:AB42,1,FALSE)),0,VLOOKUP(AC43,$AB$13:AB42,1,FALSE))</f>
        <v>0</v>
      </c>
      <c r="AE43" s="98">
        <f>IF(Z43=AA43,1,0)-AD44</f>
        <v>0</v>
      </c>
      <c r="AF43" s="146">
        <f>IF($B$4="中学",$B$4&amp;C43,C43)</f>
        <v>0</v>
      </c>
      <c r="AG43" s="97" t="str">
        <f>C43&amp;G43</f>
        <v/>
      </c>
      <c r="AH43" s="39" t="str">
        <f>C43&amp;H43</f>
        <v/>
      </c>
      <c r="AR43" s="155" t="str">
        <f t="shared" si="3"/>
        <v/>
      </c>
      <c r="AS43" s="155">
        <f t="shared" si="4"/>
        <v>0</v>
      </c>
    </row>
    <row r="44" spans="1:45" ht="27" customHeight="1" x14ac:dyDescent="0.15">
      <c r="B44" s="184"/>
      <c r="C44" s="191"/>
      <c r="D44" s="191"/>
      <c r="E44" s="38"/>
      <c r="F44" s="174"/>
      <c r="G44" s="130"/>
      <c r="H44" s="130"/>
      <c r="I44" s="105"/>
      <c r="J44" s="160"/>
      <c r="K44" s="53"/>
      <c r="L44" s="53"/>
      <c r="M44" s="51"/>
      <c r="N44" s="51"/>
      <c r="Y44" s="100"/>
      <c r="Z44" s="100"/>
      <c r="AA44" s="100"/>
      <c r="AB44" s="100"/>
      <c r="AC44" s="100"/>
      <c r="AD44" s="98">
        <f>IF(AC43=AD43,1,0)</f>
        <v>0</v>
      </c>
      <c r="AE44" s="98"/>
      <c r="AF44" s="147"/>
      <c r="AG44" s="100"/>
      <c r="AH44" s="43"/>
      <c r="AR44" s="155"/>
      <c r="AS44" s="155"/>
    </row>
    <row r="45" spans="1:45" ht="27" customHeight="1" x14ac:dyDescent="0.15">
      <c r="B45" s="183">
        <f>IF(AE45&lt;1,16,"ｱｽﾘｰﾄﾋﾞﾌﾞｽが重複しています")</f>
        <v>16</v>
      </c>
      <c r="C45" s="191"/>
      <c r="D45" s="191"/>
      <c r="E45" s="38"/>
      <c r="F45" s="173"/>
      <c r="G45" s="130"/>
      <c r="H45" s="130"/>
      <c r="I45" s="105"/>
      <c r="J45" s="159" t="str">
        <f t="shared" ref="J45" si="28">IF(E45="","",IF(LEN(E45)-LEN(SUBSTITUTE(SUBSTITUTE(E45," ",),"　",))=1,"","氏名ｽﾍﾟｰｽ数"&amp;LEN(E45)-LEN(SUBSTITUTE(SUBSTITUTE(E45," ",),"　",))))</f>
        <v/>
      </c>
      <c r="K45" s="54"/>
      <c r="L45" s="54"/>
      <c r="M45" s="51"/>
      <c r="N45" s="52"/>
      <c r="Y45" s="97" t="str">
        <f>IF(D45="","",C45&amp;D45)</f>
        <v/>
      </c>
      <c r="Z45" s="97">
        <f>IF(Y45="",1,Y45)</f>
        <v>1</v>
      </c>
      <c r="AA45" s="97">
        <f>IF(ISERROR(VLOOKUP(Z45,$Y$13:Y44,1,FALSE)),0,VLOOKUP(Z45,$Y$13:Y44,1,FALSE))</f>
        <v>0</v>
      </c>
      <c r="AB45" s="97" t="str">
        <f>IF(D45="","",C45&amp;D45&amp;E45)</f>
        <v/>
      </c>
      <c r="AC45" s="97">
        <f>IF(AB45="",1,AB45)</f>
        <v>1</v>
      </c>
      <c r="AD45" s="98">
        <f>IF(ISERROR(VLOOKUP(AC45,$AB$13:AB44,1,FALSE)),0,VLOOKUP(AC45,$AB$13:AB44,1,FALSE))</f>
        <v>0</v>
      </c>
      <c r="AE45" s="98">
        <f>IF(Z45=AA45,1,0)-AD46</f>
        <v>0</v>
      </c>
      <c r="AF45" s="146">
        <f>IF($B$4="中学",$B$4&amp;C45,C45)</f>
        <v>0</v>
      </c>
      <c r="AG45" s="97" t="str">
        <f>C45&amp;G45</f>
        <v/>
      </c>
      <c r="AH45" s="39" t="str">
        <f>C45&amp;H45</f>
        <v/>
      </c>
      <c r="AR45" s="155" t="str">
        <f t="shared" si="3"/>
        <v/>
      </c>
      <c r="AS45" s="155">
        <f t="shared" si="4"/>
        <v>0</v>
      </c>
    </row>
    <row r="46" spans="1:45" ht="27" customHeight="1" x14ac:dyDescent="0.15">
      <c r="B46" s="184"/>
      <c r="C46" s="191"/>
      <c r="D46" s="191"/>
      <c r="E46" s="38"/>
      <c r="F46" s="174"/>
      <c r="G46" s="130"/>
      <c r="H46" s="130"/>
      <c r="I46" s="105"/>
      <c r="J46" s="160"/>
      <c r="K46" s="53"/>
      <c r="L46" s="53"/>
      <c r="M46" s="51"/>
      <c r="N46" s="51"/>
      <c r="Y46" s="100"/>
      <c r="Z46" s="100"/>
      <c r="AA46" s="100"/>
      <c r="AB46" s="100"/>
      <c r="AC46" s="100"/>
      <c r="AD46" s="98">
        <f>IF(AC45=AD45,1,0)</f>
        <v>0</v>
      </c>
      <c r="AE46" s="98"/>
      <c r="AF46" s="147"/>
      <c r="AG46" s="100"/>
      <c r="AH46" s="43"/>
      <c r="AR46" s="155"/>
      <c r="AS46" s="155"/>
    </row>
    <row r="47" spans="1:45" ht="27" customHeight="1" x14ac:dyDescent="0.15">
      <c r="B47" s="183">
        <f>IF(AE47&lt;1,17,"ｱｽﾘｰﾄﾋﾞﾌﾞｽが重複しています")</f>
        <v>17</v>
      </c>
      <c r="C47" s="191"/>
      <c r="D47" s="191"/>
      <c r="E47" s="38"/>
      <c r="F47" s="173"/>
      <c r="G47" s="130"/>
      <c r="H47" s="130"/>
      <c r="I47" s="105"/>
      <c r="J47" s="159" t="str">
        <f t="shared" ref="J47" si="29">IF(E47="","",IF(LEN(E47)-LEN(SUBSTITUTE(SUBSTITUTE(E47," ",),"　",))=1,"","氏名ｽﾍﾟｰｽ数"&amp;LEN(E47)-LEN(SUBSTITUTE(SUBSTITUTE(E47," ",),"　",))))</f>
        <v/>
      </c>
      <c r="K47" s="53"/>
      <c r="L47" s="53"/>
      <c r="M47" s="51"/>
      <c r="N47" s="52"/>
      <c r="Y47" s="97" t="str">
        <f>IF(D47="","",C47&amp;D47)</f>
        <v/>
      </c>
      <c r="Z47" s="97">
        <f>IF(Y47="",1,Y47)</f>
        <v>1</v>
      </c>
      <c r="AA47" s="97">
        <f>IF(ISERROR(VLOOKUP(Z47,$Y$13:Y46,1,FALSE)),0,VLOOKUP(Z47,$Y$13:Y46,1,FALSE))</f>
        <v>0</v>
      </c>
      <c r="AB47" s="97" t="str">
        <f>IF(D47="","",C47&amp;D47&amp;E47)</f>
        <v/>
      </c>
      <c r="AC47" s="97">
        <f>IF(AB47="",1,AB47)</f>
        <v>1</v>
      </c>
      <c r="AD47" s="98">
        <f>IF(ISERROR(VLOOKUP(AC47,$AB$13:AB46,1,FALSE)),0,VLOOKUP(AC47,$AB$13:AB46,1,FALSE))</f>
        <v>0</v>
      </c>
      <c r="AE47" s="98">
        <f>IF(Z47=AA47,1,0)-AD48</f>
        <v>0</v>
      </c>
      <c r="AF47" s="146">
        <f>IF($B$4="中学",$B$4&amp;C47,C47)</f>
        <v>0</v>
      </c>
      <c r="AG47" s="97" t="str">
        <f>C47&amp;G47</f>
        <v/>
      </c>
      <c r="AH47" s="39" t="str">
        <f>C47&amp;H47</f>
        <v/>
      </c>
      <c r="AR47" s="155" t="str">
        <f t="shared" si="3"/>
        <v/>
      </c>
      <c r="AS47" s="155">
        <f t="shared" si="4"/>
        <v>0</v>
      </c>
    </row>
    <row r="48" spans="1:45" ht="27" customHeight="1" x14ac:dyDescent="0.15">
      <c r="B48" s="184"/>
      <c r="C48" s="191"/>
      <c r="D48" s="191"/>
      <c r="E48" s="38"/>
      <c r="F48" s="174"/>
      <c r="G48" s="130"/>
      <c r="H48" s="130"/>
      <c r="I48" s="105"/>
      <c r="J48" s="160"/>
      <c r="K48" s="53"/>
      <c r="L48" s="53"/>
      <c r="M48" s="51"/>
      <c r="N48" s="51"/>
      <c r="Y48" s="100"/>
      <c r="Z48" s="100"/>
      <c r="AA48" s="100"/>
      <c r="AB48" s="100"/>
      <c r="AC48" s="100"/>
      <c r="AD48" s="98">
        <f>IF(AC47=AD47,1,0)</f>
        <v>0</v>
      </c>
      <c r="AE48" s="98"/>
      <c r="AF48" s="147"/>
      <c r="AG48" s="100"/>
      <c r="AH48" s="43"/>
      <c r="AR48" s="155"/>
      <c r="AS48" s="155"/>
    </row>
    <row r="49" spans="1:45" ht="27" customHeight="1" x14ac:dyDescent="0.15">
      <c r="B49" s="183">
        <f>IF(AE49&lt;1,18,"ｱｽﾘｰﾄﾋﾞﾌﾞｽが重複しています")</f>
        <v>18</v>
      </c>
      <c r="C49" s="191"/>
      <c r="D49" s="191"/>
      <c r="E49" s="38"/>
      <c r="F49" s="173"/>
      <c r="G49" s="130"/>
      <c r="H49" s="130"/>
      <c r="I49" s="105"/>
      <c r="J49" s="159" t="str">
        <f t="shared" ref="J49" si="30">IF(E49="","",IF(LEN(E49)-LEN(SUBSTITUTE(SUBSTITUTE(E49," ",),"　",))=1,"","氏名ｽﾍﾟｰｽ数"&amp;LEN(E49)-LEN(SUBSTITUTE(SUBSTITUTE(E49," ",),"　",))))</f>
        <v/>
      </c>
      <c r="K49" s="53"/>
      <c r="L49" s="53"/>
      <c r="M49" s="51"/>
      <c r="N49" s="52"/>
      <c r="Y49" s="97" t="str">
        <f>IF(D49="","",C49&amp;D49)</f>
        <v/>
      </c>
      <c r="Z49" s="97">
        <f>IF(Y49="",1,Y49)</f>
        <v>1</v>
      </c>
      <c r="AA49" s="97">
        <f>IF(ISERROR(VLOOKUP(Z49,$Y$13:Y48,1,FALSE)),0,VLOOKUP(Z49,$Y$13:Y48,1,FALSE))</f>
        <v>0</v>
      </c>
      <c r="AB49" s="97" t="str">
        <f>IF(D49="","",C49&amp;D49&amp;E49)</f>
        <v/>
      </c>
      <c r="AC49" s="97">
        <f>IF(AB49="",1,AB49)</f>
        <v>1</v>
      </c>
      <c r="AD49" s="98">
        <f>IF(ISERROR(VLOOKUP(AC49,$AB$13:AB48,1,FALSE)),0,VLOOKUP(AC49,$AB$13:AB48,1,FALSE))</f>
        <v>0</v>
      </c>
      <c r="AE49" s="98">
        <f>IF(Z49=AA49,1,0)-AD50</f>
        <v>0</v>
      </c>
      <c r="AF49" s="146">
        <f>IF($B$4="中学",$B$4&amp;C49,C49)</f>
        <v>0</v>
      </c>
      <c r="AG49" s="97" t="str">
        <f>C49&amp;G49</f>
        <v/>
      </c>
      <c r="AH49" s="39" t="str">
        <f>C49&amp;H49</f>
        <v/>
      </c>
      <c r="AR49" s="155" t="str">
        <f t="shared" si="3"/>
        <v/>
      </c>
      <c r="AS49" s="155">
        <f t="shared" si="4"/>
        <v>0</v>
      </c>
    </row>
    <row r="50" spans="1:45" ht="27" customHeight="1" x14ac:dyDescent="0.15">
      <c r="B50" s="184"/>
      <c r="C50" s="191"/>
      <c r="D50" s="191"/>
      <c r="E50" s="38"/>
      <c r="F50" s="174"/>
      <c r="G50" s="130"/>
      <c r="H50" s="130"/>
      <c r="I50" s="105"/>
      <c r="J50" s="160"/>
      <c r="K50" s="53"/>
      <c r="L50" s="53"/>
      <c r="M50" s="51"/>
      <c r="N50" s="52"/>
      <c r="Y50" s="100"/>
      <c r="Z50" s="100"/>
      <c r="AA50" s="100"/>
      <c r="AB50" s="100"/>
      <c r="AC50" s="100"/>
      <c r="AD50" s="98">
        <f>IF(AC49=AD49,1,0)</f>
        <v>0</v>
      </c>
      <c r="AE50" s="98"/>
      <c r="AF50" s="147"/>
      <c r="AG50" s="100"/>
      <c r="AH50" s="43"/>
      <c r="AR50" s="155"/>
      <c r="AS50" s="155"/>
    </row>
    <row r="51" spans="1:45" ht="27" customHeight="1" x14ac:dyDescent="0.15">
      <c r="B51" s="183">
        <f>IF(AE51&lt;1,19,"ｱｽﾘｰﾄﾋﾞﾌﾞｽが重複しています")</f>
        <v>19</v>
      </c>
      <c r="C51" s="191"/>
      <c r="D51" s="191"/>
      <c r="E51" s="38"/>
      <c r="F51" s="173"/>
      <c r="G51" s="130"/>
      <c r="H51" s="130"/>
      <c r="I51" s="105"/>
      <c r="J51" s="159" t="str">
        <f t="shared" ref="J51" si="31">IF(E51="","",IF(LEN(E51)-LEN(SUBSTITUTE(SUBSTITUTE(E51," ",),"　",))=1,"","氏名ｽﾍﾟｰｽ数"&amp;LEN(E51)-LEN(SUBSTITUTE(SUBSTITUTE(E51," ",),"　",))))</f>
        <v/>
      </c>
      <c r="K51" s="53"/>
      <c r="L51" s="53"/>
      <c r="M51" s="51"/>
      <c r="N51" s="52"/>
      <c r="Y51" s="97" t="str">
        <f>IF(D51="","",C51&amp;D51)</f>
        <v/>
      </c>
      <c r="Z51" s="97">
        <f>IF(Y51="",1,Y51)</f>
        <v>1</v>
      </c>
      <c r="AA51" s="97">
        <f>IF(ISERROR(VLOOKUP(Z51,$Y$13:Y50,1,FALSE)),0,VLOOKUP(Z51,$Y$13:Y50,1,FALSE))</f>
        <v>0</v>
      </c>
      <c r="AB51" s="97" t="str">
        <f>IF(D51="","",C51&amp;D51&amp;E51)</f>
        <v/>
      </c>
      <c r="AC51" s="97">
        <f>IF(AB51="",1,AB51)</f>
        <v>1</v>
      </c>
      <c r="AD51" s="98">
        <f>IF(ISERROR(VLOOKUP(AC51,$AB$13:AB50,1,FALSE)),0,VLOOKUP(AC51,$AB$13:AB50,1,FALSE))</f>
        <v>0</v>
      </c>
      <c r="AE51" s="98">
        <f>IF(Z51=AA51,1,0)-AD52</f>
        <v>0</v>
      </c>
      <c r="AF51" s="146">
        <f>IF($B$4="中学",$B$4&amp;C51,C51)</f>
        <v>0</v>
      </c>
      <c r="AG51" s="97" t="str">
        <f>C51&amp;G51</f>
        <v/>
      </c>
      <c r="AH51" s="39" t="str">
        <f>C51&amp;H51</f>
        <v/>
      </c>
      <c r="AR51" s="155" t="str">
        <f t="shared" si="3"/>
        <v/>
      </c>
      <c r="AS51" s="155">
        <f t="shared" si="4"/>
        <v>0</v>
      </c>
    </row>
    <row r="52" spans="1:45" ht="27" customHeight="1" x14ac:dyDescent="0.15">
      <c r="B52" s="184"/>
      <c r="C52" s="191"/>
      <c r="D52" s="191"/>
      <c r="E52" s="38"/>
      <c r="F52" s="174"/>
      <c r="G52" s="130"/>
      <c r="H52" s="130"/>
      <c r="I52" s="105"/>
      <c r="J52" s="160"/>
      <c r="K52" s="53"/>
      <c r="L52" s="53"/>
      <c r="M52" s="51"/>
      <c r="N52" s="52"/>
      <c r="Y52" s="100"/>
      <c r="Z52" s="100"/>
      <c r="AA52" s="100"/>
      <c r="AB52" s="100"/>
      <c r="AC52" s="100"/>
      <c r="AD52" s="98">
        <f>IF(AC51=AD51,1,0)</f>
        <v>0</v>
      </c>
      <c r="AE52" s="98"/>
      <c r="AF52" s="147"/>
      <c r="AG52" s="100"/>
      <c r="AH52" s="43"/>
      <c r="AR52" s="155"/>
      <c r="AS52" s="155"/>
    </row>
    <row r="53" spans="1:45" ht="27" customHeight="1" thickBot="1" x14ac:dyDescent="0.2">
      <c r="B53" s="232">
        <f>IF(AE53&lt;1,20,"ｱｽﾘｰﾄﾋﾞﾌﾞｽが重複しています")</f>
        <v>20</v>
      </c>
      <c r="C53" s="191"/>
      <c r="D53" s="191"/>
      <c r="E53" s="38"/>
      <c r="F53" s="173"/>
      <c r="G53" s="130"/>
      <c r="H53" s="130"/>
      <c r="I53" s="105"/>
      <c r="J53" s="159" t="str">
        <f t="shared" ref="J53" si="32">IF(E53="","",IF(LEN(E53)-LEN(SUBSTITUTE(SUBSTITUTE(E53," ",),"　",))=1,"","氏名ｽﾍﾟｰｽ数"&amp;LEN(E53)-LEN(SUBSTITUTE(SUBSTITUTE(E53," ",),"　",))))</f>
        <v/>
      </c>
      <c r="K53" s="53"/>
      <c r="L53" s="53"/>
      <c r="M53" s="52"/>
      <c r="N53" s="52"/>
      <c r="Y53" s="97" t="str">
        <f>IF(D53="","",C53&amp;D53)</f>
        <v/>
      </c>
      <c r="Z53" s="97">
        <f>IF(Y53="",1,Y53)</f>
        <v>1</v>
      </c>
      <c r="AA53" s="97">
        <f>IF(ISERROR(VLOOKUP(Z53,$Y$13:Y52,1,FALSE)),0,VLOOKUP(Z53,$Y$13:Y52,1,FALSE))</f>
        <v>0</v>
      </c>
      <c r="AB53" s="97" t="str">
        <f>IF(D53="","",C53&amp;D53&amp;E53)</f>
        <v/>
      </c>
      <c r="AC53" s="97">
        <f>IF(AB53="",1,AB53)</f>
        <v>1</v>
      </c>
      <c r="AD53" s="98">
        <f>IF(ISERROR(VLOOKUP(AC53,$AB$13:AB52,1,FALSE)),0,VLOOKUP(AC53,$AB$13:AB52,1,FALSE))</f>
        <v>0</v>
      </c>
      <c r="AE53" s="98">
        <f>IF(Z53=AA53,1,0)-AD54</f>
        <v>0</v>
      </c>
      <c r="AF53" s="146">
        <f>IF($B$4="中学",$B$4&amp;C53,C53)</f>
        <v>0</v>
      </c>
      <c r="AG53" s="97" t="str">
        <f>C53&amp;G53</f>
        <v/>
      </c>
      <c r="AH53" s="39" t="str">
        <f>C53&amp;H53</f>
        <v/>
      </c>
      <c r="AR53" s="155" t="str">
        <f t="shared" si="3"/>
        <v/>
      </c>
      <c r="AS53" s="155">
        <f t="shared" si="4"/>
        <v>0</v>
      </c>
    </row>
    <row r="54" spans="1:45" ht="27" customHeight="1" thickBot="1" x14ac:dyDescent="0.2">
      <c r="B54" s="233"/>
      <c r="C54" s="234"/>
      <c r="D54" s="234"/>
      <c r="E54" s="50"/>
      <c r="F54" s="175"/>
      <c r="G54" s="131"/>
      <c r="H54" s="131"/>
      <c r="I54" s="106"/>
      <c r="J54" s="160"/>
      <c r="K54" s="53"/>
      <c r="L54" s="53"/>
      <c r="M54" s="52"/>
      <c r="N54" s="52"/>
      <c r="Y54" s="100"/>
      <c r="Z54" s="100"/>
      <c r="AA54" s="100"/>
      <c r="AB54" s="100"/>
      <c r="AC54" s="100"/>
      <c r="AD54" s="98">
        <f>IF(AC53=AD53,1,0)</f>
        <v>0</v>
      </c>
      <c r="AE54" s="98"/>
      <c r="AF54" s="147"/>
      <c r="AG54" s="100"/>
      <c r="AH54" s="43"/>
      <c r="AR54" s="155"/>
      <c r="AS54" s="155"/>
    </row>
    <row r="55" spans="1:45" ht="27" customHeight="1" thickBot="1" x14ac:dyDescent="0.2">
      <c r="A55" s="37">
        <f>COUNTA(E55,E57,E59,E61,E63,E65,E67,E69,E71,E73)</f>
        <v>0</v>
      </c>
      <c r="B55" s="233">
        <f>IF(AE55&lt;1,21,"ｱｽﾘｰﾄﾋﾞﾌﾞｽが重複しています")</f>
        <v>21</v>
      </c>
      <c r="C55" s="174"/>
      <c r="D55" s="174"/>
      <c r="E55" s="134"/>
      <c r="F55" s="176"/>
      <c r="G55" s="132"/>
      <c r="H55" s="132"/>
      <c r="I55" s="133"/>
      <c r="J55" s="159" t="str">
        <f t="shared" ref="J55" si="33">IF(E55="","",IF(LEN(E55)-LEN(SUBSTITUTE(SUBSTITUTE(E55," ",),"　",))=1,"","氏名ｽﾍﾟｰｽ数"&amp;LEN(E55)-LEN(SUBSTITUTE(SUBSTITUTE(E55," ",),"　",))))</f>
        <v/>
      </c>
      <c r="K55" s="53"/>
      <c r="L55" s="53"/>
      <c r="M55" s="51"/>
      <c r="N55" s="52"/>
      <c r="Y55" s="97" t="str">
        <f>IF(D55="","",C55&amp;D55)</f>
        <v/>
      </c>
      <c r="Z55" s="97">
        <f>IF(Y55="",1,Y55)</f>
        <v>1</v>
      </c>
      <c r="AA55" s="97">
        <f>IF(ISERROR(VLOOKUP(Z55,$Y$13:Y54,1,FALSE)),0,VLOOKUP(Z55,$Y$13:Y54,1,FALSE))</f>
        <v>0</v>
      </c>
      <c r="AB55" s="97" t="str">
        <f>IF(D55="","",C55&amp;D55&amp;E55)</f>
        <v/>
      </c>
      <c r="AC55" s="97">
        <f>IF(AB55="",1,AB55)</f>
        <v>1</v>
      </c>
      <c r="AD55" s="98">
        <f>IF(ISERROR(VLOOKUP(AC55,$AB$13:AB54,1,FALSE)),0,VLOOKUP(AC55,$AB$13:AB54,1,FALSE))</f>
        <v>0</v>
      </c>
      <c r="AE55" s="98">
        <f>IF(Z55=AA55,1,0)-AD56</f>
        <v>0</v>
      </c>
      <c r="AF55" s="146">
        <f>IF($B$4="中学",$B$4&amp;C55,C55)</f>
        <v>0</v>
      </c>
      <c r="AG55" s="97" t="str">
        <f>C55&amp;G55</f>
        <v/>
      </c>
      <c r="AH55" s="39" t="str">
        <f>C55&amp;H55</f>
        <v/>
      </c>
      <c r="AR55" s="155" t="str">
        <f t="shared" si="3"/>
        <v/>
      </c>
      <c r="AS55" s="155">
        <f t="shared" si="4"/>
        <v>0</v>
      </c>
    </row>
    <row r="56" spans="1:45" ht="27" customHeight="1" x14ac:dyDescent="0.15">
      <c r="A56" s="42">
        <f>COUNTA(G55:I55,G57:I57,G59:I59,G61:I61,G63:I63,G65:I65,G67:I67,G69:I69,G71:I71,G73:I73)</f>
        <v>0</v>
      </c>
      <c r="B56" s="235"/>
      <c r="C56" s="191"/>
      <c r="D56" s="191"/>
      <c r="E56" s="38"/>
      <c r="F56" s="174"/>
      <c r="G56" s="130"/>
      <c r="H56" s="130"/>
      <c r="I56" s="105"/>
      <c r="J56" s="160"/>
      <c r="K56" s="53"/>
      <c r="L56" s="53"/>
      <c r="M56" s="51"/>
      <c r="N56" s="52"/>
      <c r="Y56" s="100"/>
      <c r="Z56" s="100"/>
      <c r="AA56" s="100"/>
      <c r="AB56" s="100"/>
      <c r="AC56" s="100"/>
      <c r="AD56" s="98">
        <f>IF(AC55=AD55,1,0)</f>
        <v>0</v>
      </c>
      <c r="AE56" s="98"/>
      <c r="AF56" s="147"/>
      <c r="AG56" s="100"/>
      <c r="AH56" s="43"/>
      <c r="AR56" s="155"/>
      <c r="AS56" s="155"/>
    </row>
    <row r="57" spans="1:45" ht="27" customHeight="1" x14ac:dyDescent="0.15">
      <c r="B57" s="183">
        <f>IF(AE57&lt;1,22,"ｱｽﾘｰﾄﾋﾞﾌﾞｽが重複しています")</f>
        <v>22</v>
      </c>
      <c r="C57" s="191"/>
      <c r="D57" s="191"/>
      <c r="E57" s="38"/>
      <c r="F57" s="173"/>
      <c r="G57" s="130"/>
      <c r="H57" s="130"/>
      <c r="I57" s="105"/>
      <c r="J57" s="159" t="str">
        <f t="shared" ref="J57" si="34">IF(E57="","",IF(LEN(E57)-LEN(SUBSTITUTE(SUBSTITUTE(E57," ",),"　",))=1,"","氏名ｽﾍﾟｰｽ数"&amp;LEN(E57)-LEN(SUBSTITUTE(SUBSTITUTE(E57," ",),"　",))))</f>
        <v/>
      </c>
      <c r="K57" s="53"/>
      <c r="L57" s="53"/>
      <c r="M57" s="51"/>
      <c r="N57" s="51"/>
      <c r="Y57" s="97" t="str">
        <f>IF(D57="","",C57&amp;D57)</f>
        <v/>
      </c>
      <c r="Z57" s="97">
        <f>IF(Y57="",1,Y57)</f>
        <v>1</v>
      </c>
      <c r="AA57" s="97">
        <f>IF(ISERROR(VLOOKUP(Z57,$Y$13:Y56,1,FALSE)),0,VLOOKUP(Z57,$Y$13:Y56,1,FALSE))</f>
        <v>0</v>
      </c>
      <c r="AB57" s="97" t="str">
        <f>IF(D57="","",C57&amp;D57&amp;E57)</f>
        <v/>
      </c>
      <c r="AC57" s="97">
        <f>IF(AB57="",1,AB57)</f>
        <v>1</v>
      </c>
      <c r="AD57" s="98">
        <f>IF(ISERROR(VLOOKUP(AC57,$AB$13:AB56,1,FALSE)),0,VLOOKUP(AC57,$AB$13:AB56,1,FALSE))</f>
        <v>0</v>
      </c>
      <c r="AE57" s="98">
        <f>IF(Z57=AA57,1,0)-AD58</f>
        <v>0</v>
      </c>
      <c r="AF57" s="146">
        <f>IF($B$4="中学",$B$4&amp;C57,C57)</f>
        <v>0</v>
      </c>
      <c r="AG57" s="97" t="str">
        <f>C57&amp;G57</f>
        <v/>
      </c>
      <c r="AH57" s="39" t="str">
        <f>C57&amp;H57</f>
        <v/>
      </c>
      <c r="AR57" s="155" t="str">
        <f t="shared" si="3"/>
        <v/>
      </c>
      <c r="AS57" s="155">
        <f t="shared" si="4"/>
        <v>0</v>
      </c>
    </row>
    <row r="58" spans="1:45" ht="27" customHeight="1" x14ac:dyDescent="0.15">
      <c r="B58" s="184"/>
      <c r="C58" s="191"/>
      <c r="D58" s="191"/>
      <c r="E58" s="38"/>
      <c r="F58" s="174"/>
      <c r="G58" s="130"/>
      <c r="H58" s="130"/>
      <c r="I58" s="105"/>
      <c r="J58" s="160"/>
      <c r="K58" s="53"/>
      <c r="L58" s="53"/>
      <c r="M58" s="51"/>
      <c r="N58" s="52"/>
      <c r="Y58" s="100"/>
      <c r="Z58" s="100"/>
      <c r="AA58" s="100"/>
      <c r="AB58" s="100"/>
      <c r="AC58" s="100"/>
      <c r="AD58" s="98">
        <f>IF(AC57=AD57,1,0)</f>
        <v>0</v>
      </c>
      <c r="AE58" s="98"/>
      <c r="AF58" s="147"/>
      <c r="AG58" s="100"/>
      <c r="AH58" s="43"/>
      <c r="AR58" s="155"/>
      <c r="AS58" s="155"/>
    </row>
    <row r="59" spans="1:45" ht="27" customHeight="1" x14ac:dyDescent="0.15">
      <c r="B59" s="183">
        <f>IF(AE59&lt;1,23,"ｱｽﾘｰﾄﾋﾞﾌﾞｽが重複しています")</f>
        <v>23</v>
      </c>
      <c r="C59" s="191"/>
      <c r="D59" s="191"/>
      <c r="E59" s="38"/>
      <c r="F59" s="173"/>
      <c r="G59" s="130"/>
      <c r="H59" s="130"/>
      <c r="I59" s="105"/>
      <c r="J59" s="159" t="str">
        <f t="shared" ref="J59" si="35">IF(E59="","",IF(LEN(E59)-LEN(SUBSTITUTE(SUBSTITUTE(E59," ",),"　",))=1,"","氏名ｽﾍﾟｰｽ数"&amp;LEN(E59)-LEN(SUBSTITUTE(SUBSTITUTE(E59," ",),"　",))))</f>
        <v/>
      </c>
      <c r="K59" s="53"/>
      <c r="L59" s="53"/>
      <c r="M59" s="51"/>
      <c r="N59" s="52"/>
      <c r="Y59" s="97" t="str">
        <f>IF(D59="","",C59&amp;D59)</f>
        <v/>
      </c>
      <c r="Z59" s="97">
        <f>IF(Y59="",1,Y59)</f>
        <v>1</v>
      </c>
      <c r="AA59" s="97">
        <f>IF(ISERROR(VLOOKUP(Z59,$Y$13:Y58,1,FALSE)),0,VLOOKUP(Z59,$Y$13:Y58,1,FALSE))</f>
        <v>0</v>
      </c>
      <c r="AB59" s="97" t="str">
        <f>IF(D59="","",C59&amp;D59&amp;E59)</f>
        <v/>
      </c>
      <c r="AC59" s="97">
        <f>IF(AB59="",1,AB59)</f>
        <v>1</v>
      </c>
      <c r="AD59" s="98">
        <f>IF(ISERROR(VLOOKUP(AC59,$AB$13:AB58,1,FALSE)),0,VLOOKUP(AC59,$AB$13:AB58,1,FALSE))</f>
        <v>0</v>
      </c>
      <c r="AE59" s="98">
        <f>IF(Z59=AA59,1,0)-AD60</f>
        <v>0</v>
      </c>
      <c r="AF59" s="146">
        <f>IF($B$4="中学",$B$4&amp;C59,C59)</f>
        <v>0</v>
      </c>
      <c r="AG59" s="97" t="str">
        <f>C59&amp;G59</f>
        <v/>
      </c>
      <c r="AH59" s="39" t="str">
        <f>C59&amp;H59</f>
        <v/>
      </c>
      <c r="AR59" s="155" t="str">
        <f t="shared" si="3"/>
        <v/>
      </c>
      <c r="AS59" s="155">
        <f t="shared" si="4"/>
        <v>0</v>
      </c>
    </row>
    <row r="60" spans="1:45" ht="27" customHeight="1" x14ac:dyDescent="0.15">
      <c r="B60" s="184"/>
      <c r="C60" s="191"/>
      <c r="D60" s="191"/>
      <c r="E60" s="38"/>
      <c r="F60" s="174"/>
      <c r="G60" s="130"/>
      <c r="H60" s="130"/>
      <c r="I60" s="105"/>
      <c r="J60" s="160"/>
      <c r="K60" s="53"/>
      <c r="L60" s="53"/>
      <c r="M60" s="51"/>
      <c r="N60" s="51"/>
      <c r="Y60" s="100"/>
      <c r="Z60" s="100"/>
      <c r="AA60" s="100"/>
      <c r="AB60" s="100"/>
      <c r="AC60" s="100"/>
      <c r="AD60" s="98">
        <f>IF(AC59=AD59,1,0)</f>
        <v>0</v>
      </c>
      <c r="AE60" s="98"/>
      <c r="AF60" s="147"/>
      <c r="AG60" s="100"/>
      <c r="AH60" s="43"/>
      <c r="AR60" s="155"/>
      <c r="AS60" s="155"/>
    </row>
    <row r="61" spans="1:45" ht="27" customHeight="1" x14ac:dyDescent="0.15">
      <c r="B61" s="183">
        <f>IF(AE61&lt;1,24,"ｱｽﾘｰﾄﾋﾞﾌﾞｽが重複しています")</f>
        <v>24</v>
      </c>
      <c r="C61" s="191"/>
      <c r="D61" s="191"/>
      <c r="E61" s="38"/>
      <c r="F61" s="173"/>
      <c r="G61" s="130"/>
      <c r="H61" s="130"/>
      <c r="I61" s="105"/>
      <c r="J61" s="159" t="str">
        <f t="shared" ref="J61" si="36">IF(E61="","",IF(LEN(E61)-LEN(SUBSTITUTE(SUBSTITUTE(E61," ",),"　",))=1,"","氏名ｽﾍﾟｰｽ数"&amp;LEN(E61)-LEN(SUBSTITUTE(SUBSTITUTE(E61," ",),"　",))))</f>
        <v/>
      </c>
      <c r="K61" s="53"/>
      <c r="L61" s="53"/>
      <c r="M61" s="51"/>
      <c r="N61" s="52"/>
      <c r="Y61" s="97" t="str">
        <f>IF(D61="","",C61&amp;D61)</f>
        <v/>
      </c>
      <c r="Z61" s="97">
        <f>IF(Y61="",1,Y61)</f>
        <v>1</v>
      </c>
      <c r="AA61" s="97">
        <f>IF(ISERROR(VLOOKUP(Z61,$Y$13:Y60,1,FALSE)),0,VLOOKUP(Z61,$Y$13:Y60,1,FALSE))</f>
        <v>0</v>
      </c>
      <c r="AB61" s="97" t="str">
        <f>IF(D61="","",C61&amp;D61&amp;E61)</f>
        <v/>
      </c>
      <c r="AC61" s="97">
        <f>IF(AB61="",1,AB61)</f>
        <v>1</v>
      </c>
      <c r="AD61" s="98">
        <f>IF(ISERROR(VLOOKUP(AC61,$AB$13:AB60,1,FALSE)),0,VLOOKUP(AC61,$AB$13:AB60,1,FALSE))</f>
        <v>0</v>
      </c>
      <c r="AE61" s="98">
        <f>IF(Z61=AA61,1,0)-AD62</f>
        <v>0</v>
      </c>
      <c r="AF61" s="146">
        <f>IF($B$4="中学",$B$4&amp;C61,C61)</f>
        <v>0</v>
      </c>
      <c r="AG61" s="97" t="str">
        <f>C61&amp;G61</f>
        <v/>
      </c>
      <c r="AH61" s="39" t="str">
        <f>C61&amp;H61</f>
        <v/>
      </c>
      <c r="AR61" s="155" t="str">
        <f t="shared" si="3"/>
        <v/>
      </c>
      <c r="AS61" s="155">
        <f t="shared" si="4"/>
        <v>0</v>
      </c>
    </row>
    <row r="62" spans="1:45" ht="27" customHeight="1" x14ac:dyDescent="0.15">
      <c r="B62" s="184"/>
      <c r="C62" s="191"/>
      <c r="D62" s="191"/>
      <c r="E62" s="38"/>
      <c r="F62" s="174"/>
      <c r="G62" s="130"/>
      <c r="H62" s="130"/>
      <c r="I62" s="105"/>
      <c r="J62" s="160"/>
      <c r="K62" s="53"/>
      <c r="L62" s="53"/>
      <c r="M62" s="51"/>
      <c r="N62" s="52"/>
      <c r="Y62" s="100"/>
      <c r="Z62" s="100"/>
      <c r="AA62" s="100"/>
      <c r="AB62" s="100"/>
      <c r="AC62" s="100"/>
      <c r="AD62" s="98">
        <f>IF(AC61=AD61,1,0)</f>
        <v>0</v>
      </c>
      <c r="AE62" s="98"/>
      <c r="AF62" s="147"/>
      <c r="AG62" s="100"/>
      <c r="AH62" s="43"/>
      <c r="AR62" s="155"/>
      <c r="AS62" s="155"/>
    </row>
    <row r="63" spans="1:45" ht="27" customHeight="1" x14ac:dyDescent="0.15">
      <c r="B63" s="183">
        <f>IF(AE63&lt;1,25,"ｱｽﾘｰﾄﾋﾞﾌﾞｽが重複しています")</f>
        <v>25</v>
      </c>
      <c r="C63" s="191"/>
      <c r="D63" s="191"/>
      <c r="E63" s="38"/>
      <c r="F63" s="173"/>
      <c r="G63" s="130"/>
      <c r="H63" s="130"/>
      <c r="I63" s="105"/>
      <c r="J63" s="159" t="str">
        <f t="shared" ref="J63" si="37">IF(E63="","",IF(LEN(E63)-LEN(SUBSTITUTE(SUBSTITUTE(E63," ",),"　",))=1,"","氏名ｽﾍﾟｰｽ数"&amp;LEN(E63)-LEN(SUBSTITUTE(SUBSTITUTE(E63," ",),"　",))))</f>
        <v/>
      </c>
      <c r="K63" s="53"/>
      <c r="L63" s="53"/>
      <c r="M63" s="51"/>
      <c r="N63" s="51"/>
      <c r="Y63" s="97" t="str">
        <f>IF(D63="","",C63&amp;D63)</f>
        <v/>
      </c>
      <c r="Z63" s="97">
        <f>IF(Y63="",1,Y63)</f>
        <v>1</v>
      </c>
      <c r="AA63" s="97">
        <f>IF(ISERROR(VLOOKUP(Z63,$Y$13:Y62,1,FALSE)),0,VLOOKUP(Z63,$Y$13:Y62,1,FALSE))</f>
        <v>0</v>
      </c>
      <c r="AB63" s="97" t="str">
        <f>IF(D63="","",C63&amp;D63&amp;E63)</f>
        <v/>
      </c>
      <c r="AC63" s="97">
        <f>IF(AB63="",1,AB63)</f>
        <v>1</v>
      </c>
      <c r="AD63" s="98">
        <f>IF(ISERROR(VLOOKUP(AC63,$AB$13:AB62,1,FALSE)),0,VLOOKUP(AC63,$AB$13:AB62,1,FALSE))</f>
        <v>0</v>
      </c>
      <c r="AE63" s="98">
        <f>IF(Z63=AA63,1,0)-AD64</f>
        <v>0</v>
      </c>
      <c r="AF63" s="146">
        <f>IF($B$4="中学",$B$4&amp;C63,C63)</f>
        <v>0</v>
      </c>
      <c r="AG63" s="97" t="str">
        <f>C63&amp;G63</f>
        <v/>
      </c>
      <c r="AH63" s="39" t="str">
        <f>C63&amp;H63</f>
        <v/>
      </c>
      <c r="AR63" s="155" t="str">
        <f t="shared" si="3"/>
        <v/>
      </c>
      <c r="AS63" s="155">
        <f t="shared" si="4"/>
        <v>0</v>
      </c>
    </row>
    <row r="64" spans="1:45" ht="27" customHeight="1" x14ac:dyDescent="0.15">
      <c r="B64" s="184"/>
      <c r="C64" s="191"/>
      <c r="D64" s="191"/>
      <c r="E64" s="38"/>
      <c r="F64" s="174"/>
      <c r="G64" s="130"/>
      <c r="H64" s="130"/>
      <c r="I64" s="105"/>
      <c r="J64" s="160"/>
      <c r="K64" s="53"/>
      <c r="L64" s="53"/>
      <c r="M64" s="51"/>
      <c r="N64" s="51"/>
      <c r="Y64" s="100"/>
      <c r="Z64" s="100"/>
      <c r="AA64" s="100"/>
      <c r="AB64" s="100"/>
      <c r="AC64" s="100"/>
      <c r="AD64" s="98">
        <f>IF(AC63=AD63,1,0)</f>
        <v>0</v>
      </c>
      <c r="AE64" s="98"/>
      <c r="AF64" s="147"/>
      <c r="AG64" s="100"/>
      <c r="AH64" s="43"/>
      <c r="AR64" s="155"/>
      <c r="AS64" s="155"/>
    </row>
    <row r="65" spans="1:45" ht="27" customHeight="1" x14ac:dyDescent="0.15">
      <c r="B65" s="183">
        <f>IF(AE65&lt;1,26,"ｱｽﾘｰﾄﾋﾞﾌﾞｽが重複しています")</f>
        <v>26</v>
      </c>
      <c r="C65" s="191"/>
      <c r="D65" s="191"/>
      <c r="E65" s="38"/>
      <c r="F65" s="173"/>
      <c r="G65" s="130"/>
      <c r="H65" s="130"/>
      <c r="I65" s="105"/>
      <c r="J65" s="159" t="str">
        <f t="shared" ref="J65" si="38">IF(E65="","",IF(LEN(E65)-LEN(SUBSTITUTE(SUBSTITUTE(E65," ",),"　",))=1,"","氏名ｽﾍﾟｰｽ数"&amp;LEN(E65)-LEN(SUBSTITUTE(SUBSTITUTE(E65," ",),"　",))))</f>
        <v/>
      </c>
      <c r="K65" s="54"/>
      <c r="L65" s="54"/>
      <c r="M65" s="51"/>
      <c r="N65" s="52"/>
      <c r="Y65" s="97" t="str">
        <f>IF(D65="","",C65&amp;D65)</f>
        <v/>
      </c>
      <c r="Z65" s="97">
        <f>IF(Y65="",1,Y65)</f>
        <v>1</v>
      </c>
      <c r="AA65" s="97">
        <f>IF(ISERROR(VLOOKUP(Z65,$Y$13:Y64,1,FALSE)),0,VLOOKUP(Z65,$Y$13:Y64,1,FALSE))</f>
        <v>0</v>
      </c>
      <c r="AB65" s="97" t="str">
        <f>IF(D65="","",C65&amp;D65&amp;E65)</f>
        <v/>
      </c>
      <c r="AC65" s="97">
        <f>IF(AB65="",1,AB65)</f>
        <v>1</v>
      </c>
      <c r="AD65" s="98">
        <f>IF(ISERROR(VLOOKUP(AC65,$AB$13:AB64,1,FALSE)),0,VLOOKUP(AC65,$AB$13:AB64,1,FALSE))</f>
        <v>0</v>
      </c>
      <c r="AE65" s="98">
        <f>IF(Z65=AA65,1,0)-AD66</f>
        <v>0</v>
      </c>
      <c r="AF65" s="146">
        <f>IF($B$4="中学",$B$4&amp;C65,C65)</f>
        <v>0</v>
      </c>
      <c r="AG65" s="97" t="str">
        <f>C65&amp;G65</f>
        <v/>
      </c>
      <c r="AH65" s="39" t="str">
        <f>C65&amp;H65</f>
        <v/>
      </c>
      <c r="AR65" s="155" t="str">
        <f t="shared" si="3"/>
        <v/>
      </c>
      <c r="AS65" s="155">
        <f t="shared" si="4"/>
        <v>0</v>
      </c>
    </row>
    <row r="66" spans="1:45" ht="27" customHeight="1" x14ac:dyDescent="0.15">
      <c r="B66" s="184"/>
      <c r="C66" s="191"/>
      <c r="D66" s="191"/>
      <c r="E66" s="38"/>
      <c r="F66" s="174"/>
      <c r="G66" s="130"/>
      <c r="H66" s="130"/>
      <c r="I66" s="105"/>
      <c r="J66" s="160"/>
      <c r="K66" s="53"/>
      <c r="L66" s="53"/>
      <c r="M66" s="51"/>
      <c r="N66" s="51"/>
      <c r="Y66" s="100"/>
      <c r="Z66" s="100"/>
      <c r="AA66" s="100"/>
      <c r="AB66" s="100"/>
      <c r="AC66" s="100"/>
      <c r="AD66" s="98">
        <f>IF(AC65=AD65,1,0)</f>
        <v>0</v>
      </c>
      <c r="AE66" s="98"/>
      <c r="AF66" s="147"/>
      <c r="AG66" s="100"/>
      <c r="AH66" s="43"/>
      <c r="AR66" s="155"/>
      <c r="AS66" s="155"/>
    </row>
    <row r="67" spans="1:45" ht="27" customHeight="1" x14ac:dyDescent="0.15">
      <c r="B67" s="183">
        <f>IF(AE67&lt;1,27,"ｱｽﾘｰﾄﾋﾞﾌﾞｽが重複しています")</f>
        <v>27</v>
      </c>
      <c r="C67" s="191"/>
      <c r="D67" s="191"/>
      <c r="E67" s="38"/>
      <c r="F67" s="173"/>
      <c r="G67" s="130"/>
      <c r="H67" s="130"/>
      <c r="I67" s="105"/>
      <c r="J67" s="159" t="str">
        <f t="shared" ref="J67" si="39">IF(E67="","",IF(LEN(E67)-LEN(SUBSTITUTE(SUBSTITUTE(E67," ",),"　",))=1,"","氏名ｽﾍﾟｰｽ数"&amp;LEN(E67)-LEN(SUBSTITUTE(SUBSTITUTE(E67," ",),"　",))))</f>
        <v/>
      </c>
      <c r="K67" s="53"/>
      <c r="L67" s="53"/>
      <c r="M67" s="51"/>
      <c r="N67" s="52"/>
      <c r="Y67" s="97" t="str">
        <f>IF(D67="","",C67&amp;D67)</f>
        <v/>
      </c>
      <c r="Z67" s="97">
        <f>IF(Y67="",1,Y67)</f>
        <v>1</v>
      </c>
      <c r="AA67" s="97">
        <f>IF(ISERROR(VLOOKUP(Z67,$Y$13:Y66,1,FALSE)),0,VLOOKUP(Z67,$Y$13:Y66,1,FALSE))</f>
        <v>0</v>
      </c>
      <c r="AB67" s="97" t="str">
        <f>IF(D67="","",C67&amp;D67&amp;E67)</f>
        <v/>
      </c>
      <c r="AC67" s="97">
        <f>IF(AB67="",1,AB67)</f>
        <v>1</v>
      </c>
      <c r="AD67" s="98">
        <f>IF(ISERROR(VLOOKUP(AC67,$AB$13:AB66,1,FALSE)),0,VLOOKUP(AC67,$AB$13:AB66,1,FALSE))</f>
        <v>0</v>
      </c>
      <c r="AE67" s="98">
        <f>IF(Z67=AA67,1,0)-AD68</f>
        <v>0</v>
      </c>
      <c r="AF67" s="146">
        <f>IF($B$4="中学",$B$4&amp;C67,C67)</f>
        <v>0</v>
      </c>
      <c r="AG67" s="97" t="str">
        <f>C67&amp;G67</f>
        <v/>
      </c>
      <c r="AH67" s="39" t="str">
        <f>C67&amp;H67</f>
        <v/>
      </c>
      <c r="AR67" s="155" t="str">
        <f t="shared" si="3"/>
        <v/>
      </c>
      <c r="AS67" s="155">
        <f t="shared" si="4"/>
        <v>0</v>
      </c>
    </row>
    <row r="68" spans="1:45" ht="27" customHeight="1" x14ac:dyDescent="0.15">
      <c r="B68" s="184"/>
      <c r="C68" s="191"/>
      <c r="D68" s="191"/>
      <c r="E68" s="38"/>
      <c r="F68" s="174"/>
      <c r="G68" s="130"/>
      <c r="H68" s="130"/>
      <c r="I68" s="105"/>
      <c r="J68" s="160"/>
      <c r="K68" s="53"/>
      <c r="L68" s="53"/>
      <c r="M68" s="51"/>
      <c r="N68" s="51"/>
      <c r="Y68" s="100"/>
      <c r="Z68" s="100"/>
      <c r="AA68" s="100"/>
      <c r="AB68" s="100"/>
      <c r="AC68" s="100"/>
      <c r="AD68" s="98">
        <f>IF(AC67=AD67,1,0)</f>
        <v>0</v>
      </c>
      <c r="AE68" s="98"/>
      <c r="AF68" s="147"/>
      <c r="AG68" s="100"/>
      <c r="AH68" s="43"/>
      <c r="AR68" s="155"/>
      <c r="AS68" s="155"/>
    </row>
    <row r="69" spans="1:45" ht="27" customHeight="1" x14ac:dyDescent="0.15">
      <c r="B69" s="183">
        <f>IF(AE69&lt;1,28,"ｱｽﾘｰﾄﾋﾞﾌﾞｽが重複しています")</f>
        <v>28</v>
      </c>
      <c r="C69" s="191"/>
      <c r="D69" s="191"/>
      <c r="E69" s="38"/>
      <c r="F69" s="173"/>
      <c r="G69" s="130"/>
      <c r="H69" s="130"/>
      <c r="I69" s="105"/>
      <c r="J69" s="159" t="str">
        <f t="shared" ref="J69" si="40">IF(E69="","",IF(LEN(E69)-LEN(SUBSTITUTE(SUBSTITUTE(E69," ",),"　",))=1,"","氏名ｽﾍﾟｰｽ数"&amp;LEN(E69)-LEN(SUBSTITUTE(SUBSTITUTE(E69," ",),"　",))))</f>
        <v/>
      </c>
      <c r="K69" s="53"/>
      <c r="L69" s="53"/>
      <c r="M69" s="51"/>
      <c r="N69" s="52"/>
      <c r="Y69" s="97" t="str">
        <f>IF(D69="","",C69&amp;D69)</f>
        <v/>
      </c>
      <c r="Z69" s="97">
        <f>IF(Y69="",1,Y69)</f>
        <v>1</v>
      </c>
      <c r="AA69" s="97">
        <f>IF(ISERROR(VLOOKUP(Z69,$Y$13:Y68,1,FALSE)),0,VLOOKUP(Z69,$Y$13:Y68,1,FALSE))</f>
        <v>0</v>
      </c>
      <c r="AB69" s="97" t="str">
        <f>IF(D69="","",C69&amp;D69&amp;E69)</f>
        <v/>
      </c>
      <c r="AC69" s="97">
        <f>IF(AB69="",1,AB69)</f>
        <v>1</v>
      </c>
      <c r="AD69" s="98">
        <f>IF(ISERROR(VLOOKUP(AC69,$AB$13:AB68,1,FALSE)),0,VLOOKUP(AC69,$AB$13:AB68,1,FALSE))</f>
        <v>0</v>
      </c>
      <c r="AE69" s="98">
        <f>IF(Z69=AA69,1,0)-AD70</f>
        <v>0</v>
      </c>
      <c r="AF69" s="146">
        <f>IF($B$4="中学",$B$4&amp;C69,C69)</f>
        <v>0</v>
      </c>
      <c r="AG69" s="97" t="str">
        <f>C69&amp;G69</f>
        <v/>
      </c>
      <c r="AH69" s="39" t="str">
        <f>C69&amp;H69</f>
        <v/>
      </c>
      <c r="AR69" s="155" t="str">
        <f t="shared" si="3"/>
        <v/>
      </c>
      <c r="AS69" s="155">
        <f t="shared" si="4"/>
        <v>0</v>
      </c>
    </row>
    <row r="70" spans="1:45" ht="27" customHeight="1" x14ac:dyDescent="0.15">
      <c r="B70" s="184"/>
      <c r="C70" s="191"/>
      <c r="D70" s="191"/>
      <c r="E70" s="38"/>
      <c r="F70" s="174"/>
      <c r="G70" s="130"/>
      <c r="H70" s="130"/>
      <c r="I70" s="105"/>
      <c r="J70" s="160"/>
      <c r="K70" s="53"/>
      <c r="L70" s="53"/>
      <c r="M70" s="51"/>
      <c r="N70" s="52"/>
      <c r="Y70" s="100"/>
      <c r="Z70" s="100"/>
      <c r="AA70" s="100"/>
      <c r="AB70" s="100"/>
      <c r="AC70" s="100"/>
      <c r="AD70" s="98">
        <f>IF(AC69=AD69,1,0)</f>
        <v>0</v>
      </c>
      <c r="AE70" s="98"/>
      <c r="AF70" s="147"/>
      <c r="AG70" s="100"/>
      <c r="AH70" s="43"/>
      <c r="AR70" s="155"/>
      <c r="AS70" s="155"/>
    </row>
    <row r="71" spans="1:45" ht="27" customHeight="1" x14ac:dyDescent="0.15">
      <c r="B71" s="183">
        <f>IF(AE71&lt;1,29,"ｱｽﾘｰﾄﾋﾞﾌﾞｽが重複しています")</f>
        <v>29</v>
      </c>
      <c r="C71" s="191"/>
      <c r="D71" s="191"/>
      <c r="E71" s="38"/>
      <c r="F71" s="173"/>
      <c r="G71" s="130"/>
      <c r="H71" s="130"/>
      <c r="I71" s="105"/>
      <c r="J71" s="159" t="str">
        <f t="shared" ref="J71" si="41">IF(E71="","",IF(LEN(E71)-LEN(SUBSTITUTE(SUBSTITUTE(E71," ",),"　",))=1,"","氏名ｽﾍﾟｰｽ数"&amp;LEN(E71)-LEN(SUBSTITUTE(SUBSTITUTE(E71," ",),"　",))))</f>
        <v/>
      </c>
      <c r="K71" s="53"/>
      <c r="L71" s="53"/>
      <c r="M71" s="51"/>
      <c r="N71" s="52"/>
      <c r="Y71" s="97" t="str">
        <f>IF(D71="","",C71&amp;D71)</f>
        <v/>
      </c>
      <c r="Z71" s="97">
        <f>IF(Y71="",1,Y71)</f>
        <v>1</v>
      </c>
      <c r="AA71" s="97">
        <f>IF(ISERROR(VLOOKUP(Z71,$Y$13:Y70,1,FALSE)),0,VLOOKUP(Z71,$Y$13:Y70,1,FALSE))</f>
        <v>0</v>
      </c>
      <c r="AB71" s="97" t="str">
        <f>IF(D71="","",C71&amp;D71&amp;E71)</f>
        <v/>
      </c>
      <c r="AC71" s="97">
        <f>IF(AB71="",1,AB71)</f>
        <v>1</v>
      </c>
      <c r="AD71" s="98">
        <f>IF(ISERROR(VLOOKUP(AC71,$AB$13:AB70,1,FALSE)),0,VLOOKUP(AC71,$AB$13:AB70,1,FALSE))</f>
        <v>0</v>
      </c>
      <c r="AE71" s="98">
        <f>IF(Z71=AA71,1,0)-AD72</f>
        <v>0</v>
      </c>
      <c r="AF71" s="146">
        <f>IF($B$4="中学",$B$4&amp;C71,C71)</f>
        <v>0</v>
      </c>
      <c r="AG71" s="97" t="str">
        <f>C71&amp;G71</f>
        <v/>
      </c>
      <c r="AH71" s="39" t="str">
        <f>C71&amp;H71</f>
        <v/>
      </c>
      <c r="AR71" s="155" t="str">
        <f t="shared" si="3"/>
        <v/>
      </c>
      <c r="AS71" s="155">
        <f t="shared" si="4"/>
        <v>0</v>
      </c>
    </row>
    <row r="72" spans="1:45" ht="27" customHeight="1" x14ac:dyDescent="0.15">
      <c r="B72" s="184"/>
      <c r="C72" s="191"/>
      <c r="D72" s="191"/>
      <c r="E72" s="38"/>
      <c r="F72" s="174"/>
      <c r="G72" s="130"/>
      <c r="H72" s="130"/>
      <c r="I72" s="105"/>
      <c r="J72" s="160"/>
      <c r="K72" s="53"/>
      <c r="L72" s="53"/>
      <c r="M72" s="51"/>
      <c r="N72" s="52"/>
      <c r="Y72" s="100"/>
      <c r="Z72" s="100"/>
      <c r="AA72" s="100"/>
      <c r="AB72" s="100"/>
      <c r="AC72" s="100"/>
      <c r="AD72" s="98">
        <f>IF(AC71=AD71,1,0)</f>
        <v>0</v>
      </c>
      <c r="AE72" s="98"/>
      <c r="AF72" s="147"/>
      <c r="AG72" s="100"/>
      <c r="AH72" s="43"/>
      <c r="AR72" s="155"/>
      <c r="AS72" s="155"/>
    </row>
    <row r="73" spans="1:45" ht="27" customHeight="1" thickBot="1" x14ac:dyDescent="0.2">
      <c r="B73" s="232">
        <f>IF(AE73&lt;1,30,"ｱｽﾘｰﾄﾋﾞﾌﾞｽが重複しています")</f>
        <v>30</v>
      </c>
      <c r="C73" s="191"/>
      <c r="D73" s="191"/>
      <c r="E73" s="38"/>
      <c r="F73" s="173"/>
      <c r="G73" s="130"/>
      <c r="H73" s="130"/>
      <c r="I73" s="105"/>
      <c r="J73" s="159" t="str">
        <f t="shared" ref="J73" si="42">IF(E73="","",IF(LEN(E73)-LEN(SUBSTITUTE(SUBSTITUTE(E73," ",),"　",))=1,"","氏名ｽﾍﾟｰｽ数"&amp;LEN(E73)-LEN(SUBSTITUTE(SUBSTITUTE(E73," ",),"　",))))</f>
        <v/>
      </c>
      <c r="K73" s="53"/>
      <c r="L73" s="53"/>
      <c r="M73" s="52"/>
      <c r="N73" s="52"/>
      <c r="Y73" s="97" t="str">
        <f>IF(D73="","",C73&amp;D73)</f>
        <v/>
      </c>
      <c r="Z73" s="97">
        <f>IF(Y73="",1,Y73)</f>
        <v>1</v>
      </c>
      <c r="AA73" s="97">
        <f>IF(ISERROR(VLOOKUP(Z73,$Y$13:Y72,1,FALSE)),0,VLOOKUP(Z73,$Y$13:Y72,1,FALSE))</f>
        <v>0</v>
      </c>
      <c r="AB73" s="97" t="str">
        <f>IF(D73="","",C73&amp;D73&amp;E73)</f>
        <v/>
      </c>
      <c r="AC73" s="97">
        <f>IF(AB73="",1,AB73)</f>
        <v>1</v>
      </c>
      <c r="AD73" s="98">
        <f>IF(ISERROR(VLOOKUP(AC73,$AB$13:AB72,1,FALSE)),0,VLOOKUP(AC73,$AB$13:AB72,1,FALSE))</f>
        <v>0</v>
      </c>
      <c r="AE73" s="98">
        <f>IF(Z73=AA73,1,0)-AD74</f>
        <v>0</v>
      </c>
      <c r="AF73" s="146">
        <f>IF($B$4="中学",$B$4&amp;C73,C73)</f>
        <v>0</v>
      </c>
      <c r="AG73" s="97" t="str">
        <f>C73&amp;G73</f>
        <v/>
      </c>
      <c r="AH73" s="39" t="str">
        <f>C73&amp;H73</f>
        <v/>
      </c>
      <c r="AR73" s="155" t="str">
        <f t="shared" si="3"/>
        <v/>
      </c>
      <c r="AS73" s="155">
        <f t="shared" si="4"/>
        <v>0</v>
      </c>
    </row>
    <row r="74" spans="1:45" ht="27" customHeight="1" thickBot="1" x14ac:dyDescent="0.2">
      <c r="B74" s="233"/>
      <c r="C74" s="234"/>
      <c r="D74" s="234"/>
      <c r="E74" s="50"/>
      <c r="F74" s="175"/>
      <c r="G74" s="131"/>
      <c r="H74" s="131"/>
      <c r="I74" s="106"/>
      <c r="J74" s="160"/>
      <c r="K74" s="53"/>
      <c r="L74" s="53"/>
      <c r="M74" s="52"/>
      <c r="N74" s="52"/>
      <c r="Y74" s="100"/>
      <c r="Z74" s="100"/>
      <c r="AA74" s="100"/>
      <c r="AB74" s="100"/>
      <c r="AC74" s="100"/>
      <c r="AD74" s="98">
        <f>IF(AC73=AD73,1,0)</f>
        <v>0</v>
      </c>
      <c r="AE74" s="98"/>
      <c r="AF74" s="147"/>
      <c r="AG74" s="100"/>
      <c r="AH74" s="43"/>
      <c r="AR74" s="155"/>
      <c r="AS74" s="155"/>
    </row>
    <row r="75" spans="1:45" ht="27" customHeight="1" x14ac:dyDescent="0.15">
      <c r="A75" s="37">
        <f>COUNTA(E75,E77,E79,E81,E83,E85,E87,E89,E91,E93)</f>
        <v>0</v>
      </c>
      <c r="B75" s="236">
        <f>IF(AE75&lt;1,31,"ｱｽﾘｰﾄﾋﾞﾌﾞｽが重複しています")</f>
        <v>31</v>
      </c>
      <c r="C75" s="174"/>
      <c r="D75" s="174"/>
      <c r="E75" s="134"/>
      <c r="F75" s="176"/>
      <c r="G75" s="132"/>
      <c r="H75" s="132"/>
      <c r="I75" s="133"/>
      <c r="J75" s="159" t="str">
        <f t="shared" ref="J75" si="43">IF(E75="","",IF(LEN(E75)-LEN(SUBSTITUTE(SUBSTITUTE(E75," ",),"　",))=1,"","氏名ｽﾍﾟｰｽ数"&amp;LEN(E75)-LEN(SUBSTITUTE(SUBSTITUTE(E75," ",),"　",))))</f>
        <v/>
      </c>
      <c r="K75" s="53"/>
      <c r="L75" s="53"/>
      <c r="M75" s="51"/>
      <c r="N75" s="52"/>
      <c r="Y75" s="97" t="str">
        <f>IF(D75="","",C75&amp;D75)</f>
        <v/>
      </c>
      <c r="Z75" s="97">
        <f>IF(Y75="",1,Y75)</f>
        <v>1</v>
      </c>
      <c r="AA75" s="97">
        <f>IF(ISERROR(VLOOKUP(Z75,$Y$13:Y74,1,FALSE)),0,VLOOKUP(Z75,$Y$13:Y74,1,FALSE))</f>
        <v>0</v>
      </c>
      <c r="AB75" s="97" t="str">
        <f>IF(D75="","",C75&amp;D75&amp;E75)</f>
        <v/>
      </c>
      <c r="AC75" s="97">
        <f>IF(AB75="",1,AB75)</f>
        <v>1</v>
      </c>
      <c r="AD75" s="98">
        <f>IF(ISERROR(VLOOKUP(AC75,$AB$13:AB74,1,FALSE)),0,VLOOKUP(AC75,$AB$13:AB74,1,FALSE))</f>
        <v>0</v>
      </c>
      <c r="AE75" s="98">
        <f>IF(Z75=AA75,1,0)-AD76</f>
        <v>0</v>
      </c>
      <c r="AF75" s="146">
        <f>IF($B$4="中学",$B$4&amp;C75,C75)</f>
        <v>0</v>
      </c>
      <c r="AG75" s="97" t="str">
        <f>C75&amp;G75</f>
        <v/>
      </c>
      <c r="AH75" s="39" t="str">
        <f>C75&amp;H75</f>
        <v/>
      </c>
      <c r="AR75" s="155" t="str">
        <f t="shared" si="3"/>
        <v/>
      </c>
      <c r="AS75" s="155">
        <f t="shared" si="4"/>
        <v>0</v>
      </c>
    </row>
    <row r="76" spans="1:45" ht="27" customHeight="1" x14ac:dyDescent="0.15">
      <c r="A76" s="42">
        <f>COUNTA(G75:I75,G77:I77,G79:I79,G81:I81,G83:I83,G85:I85,G87:I87,G89:I89,G91:I91,G93:I93)</f>
        <v>0</v>
      </c>
      <c r="B76" s="184"/>
      <c r="C76" s="191"/>
      <c r="D76" s="191"/>
      <c r="E76" s="38"/>
      <c r="F76" s="174"/>
      <c r="G76" s="130"/>
      <c r="H76" s="130"/>
      <c r="I76" s="105"/>
      <c r="J76" s="160"/>
      <c r="K76" s="53"/>
      <c r="L76" s="53"/>
      <c r="M76" s="51"/>
      <c r="N76" s="52"/>
      <c r="Y76" s="100"/>
      <c r="Z76" s="100"/>
      <c r="AA76" s="100"/>
      <c r="AB76" s="100"/>
      <c r="AC76" s="100"/>
      <c r="AD76" s="98">
        <f>IF(AC75=AD75,1,0)</f>
        <v>0</v>
      </c>
      <c r="AE76" s="98"/>
      <c r="AF76" s="147"/>
      <c r="AG76" s="100"/>
      <c r="AH76" s="43"/>
      <c r="AR76" s="155"/>
      <c r="AS76" s="155"/>
    </row>
    <row r="77" spans="1:45" ht="27" customHeight="1" x14ac:dyDescent="0.15">
      <c r="B77" s="183">
        <f>IF(AE77&lt;1,32,"ｱｽﾘｰﾄﾋﾞﾌﾞｽが重複しています")</f>
        <v>32</v>
      </c>
      <c r="C77" s="191"/>
      <c r="D77" s="191"/>
      <c r="E77" s="38"/>
      <c r="F77" s="173"/>
      <c r="G77" s="130"/>
      <c r="H77" s="130"/>
      <c r="I77" s="105"/>
      <c r="J77" s="159" t="str">
        <f t="shared" ref="J77" si="44">IF(E77="","",IF(LEN(E77)-LEN(SUBSTITUTE(SUBSTITUTE(E77," ",),"　",))=1,"","氏名ｽﾍﾟｰｽ数"&amp;LEN(E77)-LEN(SUBSTITUTE(SUBSTITUTE(E77," ",),"　",))))</f>
        <v/>
      </c>
      <c r="K77" s="53"/>
      <c r="L77" s="53"/>
      <c r="M77" s="51"/>
      <c r="N77" s="51"/>
      <c r="Y77" s="97" t="str">
        <f>IF(D77="","",C77&amp;D77)</f>
        <v/>
      </c>
      <c r="Z77" s="97">
        <f>IF(Y77="",1,Y77)</f>
        <v>1</v>
      </c>
      <c r="AA77" s="97">
        <f>IF(ISERROR(VLOOKUP(Z77,$Y$13:Y76,1,FALSE)),0,VLOOKUP(Z77,$Y$13:Y76,1,FALSE))</f>
        <v>0</v>
      </c>
      <c r="AB77" s="97" t="str">
        <f>IF(D77="","",C77&amp;D77&amp;E77)</f>
        <v/>
      </c>
      <c r="AC77" s="97">
        <f>IF(AB77="",1,AB77)</f>
        <v>1</v>
      </c>
      <c r="AD77" s="98">
        <f>IF(ISERROR(VLOOKUP(AC77,$AB$13:AB76,1,FALSE)),0,VLOOKUP(AC77,$AB$13:AB76,1,FALSE))</f>
        <v>0</v>
      </c>
      <c r="AE77" s="98">
        <f>IF(Z77=AA77,1,0)-AD78</f>
        <v>0</v>
      </c>
      <c r="AF77" s="146">
        <f>IF($B$4="中学",$B$4&amp;C77,C77)</f>
        <v>0</v>
      </c>
      <c r="AG77" s="97" t="str">
        <f>C77&amp;G77</f>
        <v/>
      </c>
      <c r="AH77" s="39" t="str">
        <f>C77&amp;H77</f>
        <v/>
      </c>
      <c r="AR77" s="155" t="str">
        <f t="shared" si="3"/>
        <v/>
      </c>
      <c r="AS77" s="155">
        <f t="shared" si="4"/>
        <v>0</v>
      </c>
    </row>
    <row r="78" spans="1:45" ht="27" customHeight="1" x14ac:dyDescent="0.15">
      <c r="B78" s="184"/>
      <c r="C78" s="191"/>
      <c r="D78" s="191"/>
      <c r="E78" s="38"/>
      <c r="F78" s="174"/>
      <c r="G78" s="130"/>
      <c r="H78" s="130"/>
      <c r="I78" s="105"/>
      <c r="J78" s="160"/>
      <c r="K78" s="53"/>
      <c r="L78" s="53"/>
      <c r="M78" s="51"/>
      <c r="N78" s="52"/>
      <c r="Y78" s="100"/>
      <c r="Z78" s="100"/>
      <c r="AA78" s="100"/>
      <c r="AB78" s="100"/>
      <c r="AC78" s="100"/>
      <c r="AD78" s="98">
        <f>IF(AC77=AD77,1,0)</f>
        <v>0</v>
      </c>
      <c r="AE78" s="98"/>
      <c r="AF78" s="147"/>
      <c r="AG78" s="100"/>
      <c r="AH78" s="43"/>
      <c r="AR78" s="155"/>
      <c r="AS78" s="155"/>
    </row>
    <row r="79" spans="1:45" ht="27" customHeight="1" x14ac:dyDescent="0.15">
      <c r="B79" s="183">
        <f>IF(AE79&lt;1,33,"ｱｽﾘｰﾄﾋﾞﾌﾞｽが重複しています")</f>
        <v>33</v>
      </c>
      <c r="C79" s="191"/>
      <c r="D79" s="191"/>
      <c r="E79" s="38"/>
      <c r="F79" s="173"/>
      <c r="G79" s="130"/>
      <c r="H79" s="130"/>
      <c r="I79" s="105"/>
      <c r="J79" s="159" t="str">
        <f t="shared" ref="J79" si="45">IF(E79="","",IF(LEN(E79)-LEN(SUBSTITUTE(SUBSTITUTE(E79," ",),"　",))=1,"","氏名ｽﾍﾟｰｽ数"&amp;LEN(E79)-LEN(SUBSTITUTE(SUBSTITUTE(E79," ",),"　",))))</f>
        <v/>
      </c>
      <c r="K79" s="53"/>
      <c r="L79" s="53"/>
      <c r="M79" s="51"/>
      <c r="N79" s="52"/>
      <c r="Y79" s="97" t="str">
        <f>IF(D79="","",C79&amp;D79)</f>
        <v/>
      </c>
      <c r="Z79" s="97">
        <f>IF(Y79="",1,Y79)</f>
        <v>1</v>
      </c>
      <c r="AA79" s="97">
        <f>IF(ISERROR(VLOOKUP(Z79,$Y$13:Y78,1,FALSE)),0,VLOOKUP(Z79,$Y$13:Y78,1,FALSE))</f>
        <v>0</v>
      </c>
      <c r="AB79" s="97" t="str">
        <f>IF(D79="","",C79&amp;D79&amp;E79)</f>
        <v/>
      </c>
      <c r="AC79" s="97">
        <f>IF(AB79="",1,AB79)</f>
        <v>1</v>
      </c>
      <c r="AD79" s="98">
        <f>IF(ISERROR(VLOOKUP(AC79,$AB$13:AB78,1,FALSE)),0,VLOOKUP(AC79,$AB$13:AB78,1,FALSE))</f>
        <v>0</v>
      </c>
      <c r="AE79" s="98">
        <f>IF(Z79=AA79,1,0)-AD80</f>
        <v>0</v>
      </c>
      <c r="AF79" s="146">
        <f>IF($B$4="中学",$B$4&amp;C79,C79)</f>
        <v>0</v>
      </c>
      <c r="AG79" s="97" t="str">
        <f>C79&amp;G79</f>
        <v/>
      </c>
      <c r="AH79" s="39" t="str">
        <f>C79&amp;H79</f>
        <v/>
      </c>
      <c r="AR79" s="155" t="str">
        <f t="shared" si="3"/>
        <v/>
      </c>
      <c r="AS79" s="155">
        <f t="shared" si="4"/>
        <v>0</v>
      </c>
    </row>
    <row r="80" spans="1:45" ht="27" customHeight="1" x14ac:dyDescent="0.15">
      <c r="B80" s="184"/>
      <c r="C80" s="191"/>
      <c r="D80" s="191"/>
      <c r="E80" s="38"/>
      <c r="F80" s="174"/>
      <c r="G80" s="130"/>
      <c r="H80" s="130"/>
      <c r="I80" s="105"/>
      <c r="J80" s="160"/>
      <c r="K80" s="53"/>
      <c r="L80" s="53"/>
      <c r="M80" s="51"/>
      <c r="N80" s="51"/>
      <c r="Y80" s="100"/>
      <c r="Z80" s="100"/>
      <c r="AA80" s="100"/>
      <c r="AB80" s="100"/>
      <c r="AC80" s="100"/>
      <c r="AD80" s="98">
        <f>IF(AC79=AD79,1,0)</f>
        <v>0</v>
      </c>
      <c r="AE80" s="98"/>
      <c r="AF80" s="147"/>
      <c r="AG80" s="100"/>
      <c r="AH80" s="43"/>
      <c r="AR80" s="155"/>
      <c r="AS80" s="155"/>
    </row>
    <row r="81" spans="1:45" ht="27" customHeight="1" x14ac:dyDescent="0.15">
      <c r="B81" s="183">
        <f>IF(AE81&lt;1,34,"ｱｽﾘｰﾄﾋﾞﾌﾞｽが重複しています")</f>
        <v>34</v>
      </c>
      <c r="C81" s="191"/>
      <c r="D81" s="191"/>
      <c r="E81" s="38"/>
      <c r="F81" s="173"/>
      <c r="G81" s="130"/>
      <c r="H81" s="130"/>
      <c r="I81" s="105"/>
      <c r="J81" s="159" t="str">
        <f t="shared" ref="J81" si="46">IF(E81="","",IF(LEN(E81)-LEN(SUBSTITUTE(SUBSTITUTE(E81," ",),"　",))=1,"","氏名ｽﾍﾟｰｽ数"&amp;LEN(E81)-LEN(SUBSTITUTE(SUBSTITUTE(E81," ",),"　",))))</f>
        <v/>
      </c>
      <c r="K81" s="53"/>
      <c r="L81" s="53"/>
      <c r="M81" s="51"/>
      <c r="N81" s="52"/>
      <c r="Y81" s="97" t="str">
        <f>IF(D81="","",C81&amp;D81)</f>
        <v/>
      </c>
      <c r="Z81" s="97">
        <f>IF(Y81="",1,Y81)</f>
        <v>1</v>
      </c>
      <c r="AA81" s="97">
        <f>IF(ISERROR(VLOOKUP(Z81,$Y$13:Y80,1,FALSE)),0,VLOOKUP(Z81,$Y$13:Y80,1,FALSE))</f>
        <v>0</v>
      </c>
      <c r="AB81" s="97" t="str">
        <f>IF(D81="","",C81&amp;D81&amp;E81)</f>
        <v/>
      </c>
      <c r="AC81" s="97">
        <f>IF(AB81="",1,AB81)</f>
        <v>1</v>
      </c>
      <c r="AD81" s="98">
        <f>IF(ISERROR(VLOOKUP(AC81,$AB$13:AB80,1,FALSE)),0,VLOOKUP(AC81,$AB$13:AB80,1,FALSE))</f>
        <v>0</v>
      </c>
      <c r="AE81" s="98">
        <f>IF(Z81=AA81,1,0)-AD82</f>
        <v>0</v>
      </c>
      <c r="AF81" s="146">
        <f>IF($B$4="中学",$B$4&amp;C81,C81)</f>
        <v>0</v>
      </c>
      <c r="AG81" s="97" t="str">
        <f>C81&amp;G81</f>
        <v/>
      </c>
      <c r="AH81" s="39" t="str">
        <f>C81&amp;H81</f>
        <v/>
      </c>
      <c r="AR81" s="155" t="str">
        <f t="shared" ref="AR81:AR113" si="47">C81&amp;D81</f>
        <v/>
      </c>
      <c r="AS81" s="155">
        <f t="shared" ref="AS81:AS113" si="48">E81</f>
        <v>0</v>
      </c>
    </row>
    <row r="82" spans="1:45" ht="27" customHeight="1" x14ac:dyDescent="0.15">
      <c r="B82" s="184"/>
      <c r="C82" s="191"/>
      <c r="D82" s="191"/>
      <c r="E82" s="38"/>
      <c r="F82" s="174"/>
      <c r="G82" s="130"/>
      <c r="H82" s="130"/>
      <c r="I82" s="105"/>
      <c r="J82" s="160"/>
      <c r="K82" s="53"/>
      <c r="L82" s="53"/>
      <c r="M82" s="51"/>
      <c r="N82" s="52"/>
      <c r="Y82" s="100"/>
      <c r="Z82" s="100"/>
      <c r="AA82" s="100"/>
      <c r="AB82" s="100"/>
      <c r="AC82" s="100"/>
      <c r="AD82" s="98">
        <f>IF(AC81=AD81,1,0)</f>
        <v>0</v>
      </c>
      <c r="AE82" s="98"/>
      <c r="AF82" s="147"/>
      <c r="AG82" s="100"/>
      <c r="AH82" s="43"/>
      <c r="AR82" s="155"/>
      <c r="AS82" s="155"/>
    </row>
    <row r="83" spans="1:45" ht="27" customHeight="1" x14ac:dyDescent="0.15">
      <c r="B83" s="183">
        <f>IF(AE83&lt;1,35,"ｱｽﾘｰﾄﾋﾞﾌﾞｽが重複しています")</f>
        <v>35</v>
      </c>
      <c r="C83" s="191"/>
      <c r="D83" s="191"/>
      <c r="E83" s="38"/>
      <c r="F83" s="173"/>
      <c r="G83" s="130"/>
      <c r="H83" s="130"/>
      <c r="I83" s="105"/>
      <c r="J83" s="159" t="str">
        <f t="shared" ref="J83" si="49">IF(E83="","",IF(LEN(E83)-LEN(SUBSTITUTE(SUBSTITUTE(E83," ",),"　",))=1,"","氏名ｽﾍﾟｰｽ数"&amp;LEN(E83)-LEN(SUBSTITUTE(SUBSTITUTE(E83," ",),"　",))))</f>
        <v/>
      </c>
      <c r="K83" s="53"/>
      <c r="L83" s="53"/>
      <c r="M83" s="51"/>
      <c r="N83" s="51"/>
      <c r="Y83" s="97" t="str">
        <f>IF(D83="","",C83&amp;D83)</f>
        <v/>
      </c>
      <c r="Z83" s="97">
        <f>IF(Y83="",1,Y83)</f>
        <v>1</v>
      </c>
      <c r="AA83" s="97">
        <f>IF(ISERROR(VLOOKUP(Z83,$Y$13:Y82,1,FALSE)),0,VLOOKUP(Z83,$Y$13:Y82,1,FALSE))</f>
        <v>0</v>
      </c>
      <c r="AB83" s="97" t="str">
        <f>IF(D83="","",C83&amp;D83&amp;E83)</f>
        <v/>
      </c>
      <c r="AC83" s="97">
        <f>IF(AB83="",1,AB83)</f>
        <v>1</v>
      </c>
      <c r="AD83" s="98">
        <f>IF(ISERROR(VLOOKUP(AC83,$AB$13:AB82,1,FALSE)),0,VLOOKUP(AC83,$AB$13:AB82,1,FALSE))</f>
        <v>0</v>
      </c>
      <c r="AE83" s="98">
        <f>IF(Z83=AA83,1,0)-AD84</f>
        <v>0</v>
      </c>
      <c r="AF83" s="146">
        <f>IF($B$4="中学",$B$4&amp;C83,C83)</f>
        <v>0</v>
      </c>
      <c r="AG83" s="97" t="str">
        <f>C83&amp;G83</f>
        <v/>
      </c>
      <c r="AH83" s="39" t="str">
        <f>C83&amp;H83</f>
        <v/>
      </c>
      <c r="AR83" s="155" t="str">
        <f t="shared" si="47"/>
        <v/>
      </c>
      <c r="AS83" s="155">
        <f t="shared" si="48"/>
        <v>0</v>
      </c>
    </row>
    <row r="84" spans="1:45" ht="27" customHeight="1" x14ac:dyDescent="0.15">
      <c r="B84" s="184"/>
      <c r="C84" s="191"/>
      <c r="D84" s="191"/>
      <c r="E84" s="38"/>
      <c r="F84" s="174"/>
      <c r="G84" s="130"/>
      <c r="H84" s="130"/>
      <c r="I84" s="105"/>
      <c r="J84" s="160"/>
      <c r="K84" s="53"/>
      <c r="L84" s="53"/>
      <c r="M84" s="51"/>
      <c r="N84" s="51"/>
      <c r="Y84" s="100"/>
      <c r="Z84" s="100"/>
      <c r="AA84" s="100"/>
      <c r="AB84" s="100"/>
      <c r="AC84" s="100"/>
      <c r="AD84" s="98">
        <f>IF(AC83=AD83,1,0)</f>
        <v>0</v>
      </c>
      <c r="AE84" s="98"/>
      <c r="AF84" s="147"/>
      <c r="AG84" s="100"/>
      <c r="AH84" s="43"/>
      <c r="AR84" s="155"/>
      <c r="AS84" s="155"/>
    </row>
    <row r="85" spans="1:45" ht="27" customHeight="1" x14ac:dyDescent="0.15">
      <c r="B85" s="183">
        <f>IF(AE85&lt;1,36,"ｱｽﾘｰﾄﾋﾞﾌﾞｽが重複しています")</f>
        <v>36</v>
      </c>
      <c r="C85" s="191"/>
      <c r="D85" s="191"/>
      <c r="E85" s="38"/>
      <c r="F85" s="173"/>
      <c r="G85" s="130"/>
      <c r="H85" s="130"/>
      <c r="I85" s="105"/>
      <c r="J85" s="159" t="str">
        <f t="shared" ref="J85" si="50">IF(E85="","",IF(LEN(E85)-LEN(SUBSTITUTE(SUBSTITUTE(E85," ",),"　",))=1,"","氏名ｽﾍﾟｰｽ数"&amp;LEN(E85)-LEN(SUBSTITUTE(SUBSTITUTE(E85," ",),"　",))))</f>
        <v/>
      </c>
      <c r="K85" s="54"/>
      <c r="L85" s="54"/>
      <c r="M85" s="51"/>
      <c r="N85" s="52"/>
      <c r="Y85" s="97" t="str">
        <f>IF(D85="","",C85&amp;D85)</f>
        <v/>
      </c>
      <c r="Z85" s="97">
        <f>IF(Y85="",1,Y85)</f>
        <v>1</v>
      </c>
      <c r="AA85" s="97">
        <f>IF(ISERROR(VLOOKUP(Z85,$Y$13:Y84,1,FALSE)),0,VLOOKUP(Z85,$Y$13:Y84,1,FALSE))</f>
        <v>0</v>
      </c>
      <c r="AB85" s="97" t="str">
        <f>IF(D85="","",C85&amp;D85&amp;E85)</f>
        <v/>
      </c>
      <c r="AC85" s="97">
        <f>IF(AB85="",1,AB85)</f>
        <v>1</v>
      </c>
      <c r="AD85" s="98">
        <f>IF(ISERROR(VLOOKUP(AC85,$AB$13:AB84,1,FALSE)),0,VLOOKUP(AC85,$AB$13:AB84,1,FALSE))</f>
        <v>0</v>
      </c>
      <c r="AE85" s="98">
        <f>IF(Z85=AA85,1,0)-AD86</f>
        <v>0</v>
      </c>
      <c r="AF85" s="146">
        <f>IF($B$4="中学",$B$4&amp;C85,C85)</f>
        <v>0</v>
      </c>
      <c r="AG85" s="97" t="str">
        <f>C85&amp;G85</f>
        <v/>
      </c>
      <c r="AH85" s="39" t="str">
        <f>C85&amp;H85</f>
        <v/>
      </c>
      <c r="AR85" s="155" t="str">
        <f t="shared" si="47"/>
        <v/>
      </c>
      <c r="AS85" s="155">
        <f t="shared" si="48"/>
        <v>0</v>
      </c>
    </row>
    <row r="86" spans="1:45" ht="27" customHeight="1" x14ac:dyDescent="0.15">
      <c r="B86" s="184"/>
      <c r="C86" s="191"/>
      <c r="D86" s="191"/>
      <c r="E86" s="38"/>
      <c r="F86" s="174"/>
      <c r="G86" s="130"/>
      <c r="H86" s="130"/>
      <c r="I86" s="105"/>
      <c r="J86" s="160"/>
      <c r="K86" s="53"/>
      <c r="L86" s="53"/>
      <c r="M86" s="51"/>
      <c r="N86" s="51"/>
      <c r="Y86" s="100"/>
      <c r="Z86" s="100"/>
      <c r="AA86" s="100"/>
      <c r="AB86" s="100"/>
      <c r="AC86" s="100"/>
      <c r="AD86" s="98">
        <f>IF(AC85=AD85,1,0)</f>
        <v>0</v>
      </c>
      <c r="AE86" s="98"/>
      <c r="AF86" s="147"/>
      <c r="AG86" s="100"/>
      <c r="AH86" s="43"/>
      <c r="AR86" s="155"/>
      <c r="AS86" s="155"/>
    </row>
    <row r="87" spans="1:45" ht="27" customHeight="1" x14ac:dyDescent="0.15">
      <c r="B87" s="183">
        <f>IF(AE87&lt;1,37,"ｱｽﾘｰﾄﾋﾞﾌﾞｽが重複しています")</f>
        <v>37</v>
      </c>
      <c r="C87" s="191"/>
      <c r="D87" s="191"/>
      <c r="E87" s="38"/>
      <c r="F87" s="173"/>
      <c r="G87" s="130"/>
      <c r="H87" s="130"/>
      <c r="I87" s="105"/>
      <c r="J87" s="159" t="str">
        <f t="shared" ref="J87" si="51">IF(E87="","",IF(LEN(E87)-LEN(SUBSTITUTE(SUBSTITUTE(E87," ",),"　",))=1,"","氏名ｽﾍﾟｰｽ数"&amp;LEN(E87)-LEN(SUBSTITUTE(SUBSTITUTE(E87," ",),"　",))))</f>
        <v/>
      </c>
      <c r="K87" s="53"/>
      <c r="L87" s="53"/>
      <c r="M87" s="51"/>
      <c r="N87" s="52"/>
      <c r="Y87" s="97" t="str">
        <f>IF(D87="","",C87&amp;D87)</f>
        <v/>
      </c>
      <c r="Z87" s="97">
        <f>IF(Y87="",1,Y87)</f>
        <v>1</v>
      </c>
      <c r="AA87" s="97">
        <f>IF(ISERROR(VLOOKUP(Z87,$Y$13:Y86,1,FALSE)),0,VLOOKUP(Z87,$Y$13:Y86,1,FALSE))</f>
        <v>0</v>
      </c>
      <c r="AB87" s="97" t="str">
        <f>IF(D87="","",C87&amp;D87&amp;E87)</f>
        <v/>
      </c>
      <c r="AC87" s="97">
        <f>IF(AB87="",1,AB87)</f>
        <v>1</v>
      </c>
      <c r="AD87" s="98">
        <f>IF(ISERROR(VLOOKUP(AC87,$AB$13:AB86,1,FALSE)),0,VLOOKUP(AC87,$AB$13:AB86,1,FALSE))</f>
        <v>0</v>
      </c>
      <c r="AE87" s="98">
        <f>IF(Z87=AA87,1,0)-AD88</f>
        <v>0</v>
      </c>
      <c r="AF87" s="146">
        <f>IF($B$4="中学",$B$4&amp;C87,C87)</f>
        <v>0</v>
      </c>
      <c r="AG87" s="97" t="str">
        <f>C87&amp;G87</f>
        <v/>
      </c>
      <c r="AH87" s="39" t="str">
        <f>C87&amp;H87</f>
        <v/>
      </c>
      <c r="AR87" s="155" t="str">
        <f t="shared" si="47"/>
        <v/>
      </c>
      <c r="AS87" s="155">
        <f t="shared" si="48"/>
        <v>0</v>
      </c>
    </row>
    <row r="88" spans="1:45" ht="27" customHeight="1" x14ac:dyDescent="0.15">
      <c r="B88" s="184"/>
      <c r="C88" s="191"/>
      <c r="D88" s="191"/>
      <c r="E88" s="38"/>
      <c r="F88" s="174"/>
      <c r="G88" s="130"/>
      <c r="H88" s="130"/>
      <c r="I88" s="105"/>
      <c r="J88" s="160"/>
      <c r="K88" s="53"/>
      <c r="L88" s="53"/>
      <c r="M88" s="51"/>
      <c r="N88" s="51"/>
      <c r="Y88" s="100"/>
      <c r="Z88" s="100"/>
      <c r="AA88" s="100"/>
      <c r="AB88" s="100"/>
      <c r="AC88" s="100"/>
      <c r="AD88" s="98">
        <f>IF(AC87=AD87,1,0)</f>
        <v>0</v>
      </c>
      <c r="AE88" s="98"/>
      <c r="AF88" s="147"/>
      <c r="AG88" s="100"/>
      <c r="AH88" s="43"/>
      <c r="AR88" s="155"/>
      <c r="AS88" s="155"/>
    </row>
    <row r="89" spans="1:45" ht="27" customHeight="1" x14ac:dyDescent="0.15">
      <c r="B89" s="183">
        <f>IF(AE89&lt;1,38,"ｱｽﾘｰﾄﾋﾞﾌﾞｽが重複しています")</f>
        <v>38</v>
      </c>
      <c r="C89" s="191"/>
      <c r="D89" s="191"/>
      <c r="E89" s="38"/>
      <c r="F89" s="173"/>
      <c r="G89" s="130"/>
      <c r="H89" s="130"/>
      <c r="I89" s="105"/>
      <c r="J89" s="159" t="str">
        <f t="shared" ref="J89" si="52">IF(E89="","",IF(LEN(E89)-LEN(SUBSTITUTE(SUBSTITUTE(E89," ",),"　",))=1,"","氏名ｽﾍﾟｰｽ数"&amp;LEN(E89)-LEN(SUBSTITUTE(SUBSTITUTE(E89," ",),"　",))))</f>
        <v/>
      </c>
      <c r="K89" s="53"/>
      <c r="L89" s="53"/>
      <c r="M89" s="51"/>
      <c r="N89" s="52"/>
      <c r="Y89" s="97" t="str">
        <f>IF(D89="","",C89&amp;D89)</f>
        <v/>
      </c>
      <c r="Z89" s="97">
        <f>IF(Y89="",1,Y89)</f>
        <v>1</v>
      </c>
      <c r="AA89" s="97">
        <f>IF(ISERROR(VLOOKUP(Z89,$Y$13:Y88,1,FALSE)),0,VLOOKUP(Z89,$Y$13:Y88,1,FALSE))</f>
        <v>0</v>
      </c>
      <c r="AB89" s="97" t="str">
        <f>IF(D89="","",C89&amp;D89&amp;E89)</f>
        <v/>
      </c>
      <c r="AC89" s="97">
        <f>IF(AB89="",1,AB89)</f>
        <v>1</v>
      </c>
      <c r="AD89" s="98">
        <f>IF(ISERROR(VLOOKUP(AC89,$AB$13:AB88,1,FALSE)),0,VLOOKUP(AC89,$AB$13:AB88,1,FALSE))</f>
        <v>0</v>
      </c>
      <c r="AE89" s="98">
        <f>IF(Z89=AA89,1,0)-AD90</f>
        <v>0</v>
      </c>
      <c r="AF89" s="146">
        <f>IF($B$4="中学",$B$4&amp;C89,C89)</f>
        <v>0</v>
      </c>
      <c r="AG89" s="97" t="str">
        <f>C89&amp;G89</f>
        <v/>
      </c>
      <c r="AH89" s="39" t="str">
        <f>C89&amp;H89</f>
        <v/>
      </c>
      <c r="AR89" s="155" t="str">
        <f t="shared" si="47"/>
        <v/>
      </c>
      <c r="AS89" s="155">
        <f t="shared" si="48"/>
        <v>0</v>
      </c>
    </row>
    <row r="90" spans="1:45" ht="27" customHeight="1" x14ac:dyDescent="0.15">
      <c r="B90" s="184"/>
      <c r="C90" s="191"/>
      <c r="D90" s="191"/>
      <c r="E90" s="38"/>
      <c r="F90" s="174"/>
      <c r="G90" s="130"/>
      <c r="H90" s="130"/>
      <c r="I90" s="105"/>
      <c r="J90" s="160"/>
      <c r="K90" s="53"/>
      <c r="L90" s="53"/>
      <c r="M90" s="51"/>
      <c r="N90" s="52"/>
      <c r="Y90" s="100"/>
      <c r="Z90" s="100"/>
      <c r="AA90" s="100"/>
      <c r="AB90" s="100"/>
      <c r="AC90" s="100"/>
      <c r="AD90" s="98">
        <f>IF(AC89=AD89,1,0)</f>
        <v>0</v>
      </c>
      <c r="AE90" s="98"/>
      <c r="AF90" s="147"/>
      <c r="AG90" s="100"/>
      <c r="AH90" s="43"/>
      <c r="AR90" s="155"/>
      <c r="AS90" s="155"/>
    </row>
    <row r="91" spans="1:45" ht="27" customHeight="1" x14ac:dyDescent="0.15">
      <c r="B91" s="183">
        <f>IF(AE91&lt;1,39,"ｱｽﾘｰﾄﾋﾞﾌﾞｽが重複しています")</f>
        <v>39</v>
      </c>
      <c r="C91" s="191"/>
      <c r="D91" s="191"/>
      <c r="E91" s="38"/>
      <c r="F91" s="173"/>
      <c r="G91" s="130"/>
      <c r="H91" s="130"/>
      <c r="I91" s="105"/>
      <c r="J91" s="159" t="str">
        <f t="shared" ref="J91" si="53">IF(E91="","",IF(LEN(E91)-LEN(SUBSTITUTE(SUBSTITUTE(E91," ",),"　",))=1,"","氏名ｽﾍﾟｰｽ数"&amp;LEN(E91)-LEN(SUBSTITUTE(SUBSTITUTE(E91," ",),"　",))))</f>
        <v/>
      </c>
      <c r="K91" s="53"/>
      <c r="L91" s="53"/>
      <c r="M91" s="51"/>
      <c r="N91" s="52"/>
      <c r="Y91" s="97" t="str">
        <f>IF(D91="","",C91&amp;D91)</f>
        <v/>
      </c>
      <c r="Z91" s="97">
        <f>IF(Y91="",1,Y91)</f>
        <v>1</v>
      </c>
      <c r="AA91" s="97">
        <f>IF(ISERROR(VLOOKUP(Z91,$Y$13:Y90,1,FALSE)),0,VLOOKUP(Z91,$Y$13:Y90,1,FALSE))</f>
        <v>0</v>
      </c>
      <c r="AB91" s="97" t="str">
        <f>IF(D91="","",C91&amp;D91&amp;E91)</f>
        <v/>
      </c>
      <c r="AC91" s="97">
        <f>IF(AB91="",1,AB91)</f>
        <v>1</v>
      </c>
      <c r="AD91" s="98">
        <f>IF(ISERROR(VLOOKUP(AC91,$AB$13:AB90,1,FALSE)),0,VLOOKUP(AC91,$AB$13:AB90,1,FALSE))</f>
        <v>0</v>
      </c>
      <c r="AE91" s="98">
        <f>IF(Z91=AA91,1,0)-AD92</f>
        <v>0</v>
      </c>
      <c r="AF91" s="146">
        <f>IF($B$4="中学",$B$4&amp;C91,C91)</f>
        <v>0</v>
      </c>
      <c r="AG91" s="97" t="str">
        <f>C91&amp;G91</f>
        <v/>
      </c>
      <c r="AH91" s="39" t="str">
        <f>C91&amp;H91</f>
        <v/>
      </c>
      <c r="AR91" s="155" t="str">
        <f t="shared" si="47"/>
        <v/>
      </c>
      <c r="AS91" s="155">
        <f t="shared" si="48"/>
        <v>0</v>
      </c>
    </row>
    <row r="92" spans="1:45" ht="27" customHeight="1" x14ac:dyDescent="0.15">
      <c r="B92" s="184"/>
      <c r="C92" s="191"/>
      <c r="D92" s="191"/>
      <c r="E92" s="38"/>
      <c r="F92" s="174"/>
      <c r="G92" s="130"/>
      <c r="H92" s="130"/>
      <c r="I92" s="105"/>
      <c r="J92" s="160"/>
      <c r="K92" s="53"/>
      <c r="L92" s="53"/>
      <c r="M92" s="51"/>
      <c r="N92" s="52"/>
      <c r="Y92" s="100"/>
      <c r="Z92" s="100"/>
      <c r="AA92" s="100"/>
      <c r="AB92" s="100"/>
      <c r="AC92" s="100"/>
      <c r="AD92" s="98">
        <f>IF(AC91=AD91,1,0)</f>
        <v>0</v>
      </c>
      <c r="AE92" s="98"/>
      <c r="AF92" s="147"/>
      <c r="AG92" s="100"/>
      <c r="AH92" s="43"/>
      <c r="AR92" s="155"/>
      <c r="AS92" s="155"/>
    </row>
    <row r="93" spans="1:45" ht="27" customHeight="1" thickBot="1" x14ac:dyDescent="0.2">
      <c r="B93" s="232">
        <f>IF(AE93&lt;1,40,"ｱｽﾘｰﾄﾋﾞﾌﾞｽが重複しています")</f>
        <v>40</v>
      </c>
      <c r="C93" s="191"/>
      <c r="D93" s="191"/>
      <c r="E93" s="38"/>
      <c r="F93" s="173"/>
      <c r="G93" s="130"/>
      <c r="H93" s="130"/>
      <c r="I93" s="105"/>
      <c r="J93" s="159" t="str">
        <f t="shared" ref="J93" si="54">IF(E93="","",IF(LEN(E93)-LEN(SUBSTITUTE(SUBSTITUTE(E93," ",),"　",))=1,"","氏名ｽﾍﾟｰｽ数"&amp;LEN(E93)-LEN(SUBSTITUTE(SUBSTITUTE(E93," ",),"　",))))</f>
        <v/>
      </c>
      <c r="K93" s="53"/>
      <c r="L93" s="53"/>
      <c r="M93" s="52"/>
      <c r="N93" s="52"/>
      <c r="Y93" s="97" t="str">
        <f>IF(D93="","",C93&amp;D93)</f>
        <v/>
      </c>
      <c r="Z93" s="97">
        <f>IF(Y93="",1,Y93)</f>
        <v>1</v>
      </c>
      <c r="AA93" s="97">
        <f>IF(ISERROR(VLOOKUP(Z93,$Y$13:Y92,1,FALSE)),0,VLOOKUP(Z93,$Y$13:Y92,1,FALSE))</f>
        <v>0</v>
      </c>
      <c r="AB93" s="97" t="str">
        <f>IF(D93="","",C93&amp;D93&amp;E93)</f>
        <v/>
      </c>
      <c r="AC93" s="97">
        <f>IF(AB93="",1,AB93)</f>
        <v>1</v>
      </c>
      <c r="AD93" s="98">
        <f>IF(ISERROR(VLOOKUP(AC93,$AB$13:AB92,1,FALSE)),0,VLOOKUP(AC93,$AB$13:AB92,1,FALSE))</f>
        <v>0</v>
      </c>
      <c r="AE93" s="98">
        <f>IF(Z93=AA93,1,0)-AD94</f>
        <v>0</v>
      </c>
      <c r="AF93" s="146">
        <f>IF($B$4="中学",$B$4&amp;C93,C93)</f>
        <v>0</v>
      </c>
      <c r="AG93" s="97" t="str">
        <f>C93&amp;G93</f>
        <v/>
      </c>
      <c r="AH93" s="39" t="str">
        <f>C93&amp;H93</f>
        <v/>
      </c>
      <c r="AR93" s="155" t="str">
        <f t="shared" si="47"/>
        <v/>
      </c>
      <c r="AS93" s="155">
        <f t="shared" si="48"/>
        <v>0</v>
      </c>
    </row>
    <row r="94" spans="1:45" ht="27" customHeight="1" thickBot="1" x14ac:dyDescent="0.2">
      <c r="B94" s="233"/>
      <c r="C94" s="234"/>
      <c r="D94" s="234"/>
      <c r="E94" s="50"/>
      <c r="F94" s="175"/>
      <c r="G94" s="131"/>
      <c r="H94" s="131"/>
      <c r="I94" s="106"/>
      <c r="J94" s="160"/>
      <c r="K94" s="53"/>
      <c r="L94" s="53"/>
      <c r="M94" s="52"/>
      <c r="N94" s="52"/>
      <c r="Y94" s="100"/>
      <c r="Z94" s="100"/>
      <c r="AA94" s="100"/>
      <c r="AB94" s="100"/>
      <c r="AC94" s="100"/>
      <c r="AD94" s="98">
        <f>IF(AC93=AD93,1,0)</f>
        <v>0</v>
      </c>
      <c r="AE94" s="98"/>
      <c r="AF94" s="147"/>
      <c r="AG94" s="100"/>
      <c r="AH94" s="43"/>
      <c r="AR94" s="155"/>
      <c r="AS94" s="155"/>
    </row>
    <row r="95" spans="1:45" ht="27" customHeight="1" x14ac:dyDescent="0.15">
      <c r="A95" s="37">
        <f>COUNTA(E95,E97,E99,E101,E103,E105,E107,E109,E111,E113)</f>
        <v>0</v>
      </c>
      <c r="B95" s="236">
        <f>IF(AE95&lt;1,41,"ｱｽﾘｰﾄﾋﾞﾌﾞｽが重複しています")</f>
        <v>41</v>
      </c>
      <c r="C95" s="174"/>
      <c r="D95" s="174"/>
      <c r="E95" s="134"/>
      <c r="F95" s="176"/>
      <c r="G95" s="132"/>
      <c r="H95" s="132"/>
      <c r="I95" s="133"/>
      <c r="J95" s="159" t="str">
        <f t="shared" ref="J95" si="55">IF(E95="","",IF(LEN(E95)-LEN(SUBSTITUTE(SUBSTITUTE(E95," ",),"　",))=1,"","氏名ｽﾍﾟｰｽ数"&amp;LEN(E95)-LEN(SUBSTITUTE(SUBSTITUTE(E95," ",),"　",))))</f>
        <v/>
      </c>
      <c r="K95" s="53"/>
      <c r="L95" s="53"/>
      <c r="M95" s="51"/>
      <c r="N95" s="52"/>
      <c r="Y95" s="97" t="str">
        <f>IF(D95="","",C95&amp;D95)</f>
        <v/>
      </c>
      <c r="Z95" s="97">
        <f>IF(Y95="",1,Y95)</f>
        <v>1</v>
      </c>
      <c r="AA95" s="97">
        <f>IF(ISERROR(VLOOKUP(Z95,$Y$13:Y94,1,FALSE)),0,VLOOKUP(Z95,$Y$13:Y94,1,FALSE))</f>
        <v>0</v>
      </c>
      <c r="AB95" s="97" t="str">
        <f>IF(D95="","",C95&amp;D95&amp;E95)</f>
        <v/>
      </c>
      <c r="AC95" s="97">
        <f>IF(AB95="",1,AB95)</f>
        <v>1</v>
      </c>
      <c r="AD95" s="98">
        <f>IF(ISERROR(VLOOKUP(AC95,$AB$13:AB94,1,FALSE)),0,VLOOKUP(AC95,$AB$13:AB94,1,FALSE))</f>
        <v>0</v>
      </c>
      <c r="AE95" s="98">
        <f>IF(Z95=AA95,1,0)-AD96</f>
        <v>0</v>
      </c>
      <c r="AF95" s="146">
        <f>IF($B$4="中学",$B$4&amp;C95,C95)</f>
        <v>0</v>
      </c>
      <c r="AG95" s="97" t="str">
        <f>C95&amp;G95</f>
        <v/>
      </c>
      <c r="AH95" s="39" t="str">
        <f>C95&amp;H95</f>
        <v/>
      </c>
      <c r="AR95" s="155" t="str">
        <f t="shared" si="47"/>
        <v/>
      </c>
      <c r="AS95" s="155">
        <f t="shared" si="48"/>
        <v>0</v>
      </c>
    </row>
    <row r="96" spans="1:45" ht="27" customHeight="1" x14ac:dyDescent="0.15">
      <c r="A96" s="42">
        <f>COUNTA(G95:I95,G97:I97,G99:I99,G101:I101,G103:I103,G105:I105,G107:I107,G109:I109,G111:I111,G113:I113)</f>
        <v>0</v>
      </c>
      <c r="B96" s="184"/>
      <c r="C96" s="191"/>
      <c r="D96" s="191"/>
      <c r="E96" s="38"/>
      <c r="F96" s="174"/>
      <c r="G96" s="130"/>
      <c r="H96" s="130"/>
      <c r="I96" s="105"/>
      <c r="J96" s="160"/>
      <c r="K96" s="53"/>
      <c r="L96" s="53"/>
      <c r="M96" s="51"/>
      <c r="N96" s="52"/>
      <c r="Y96" s="100"/>
      <c r="Z96" s="100"/>
      <c r="AA96" s="100"/>
      <c r="AB96" s="100"/>
      <c r="AC96" s="100"/>
      <c r="AD96" s="98">
        <f>IF(AC95=AD95,1,0)</f>
        <v>0</v>
      </c>
      <c r="AE96" s="98"/>
      <c r="AF96" s="147"/>
      <c r="AG96" s="100"/>
      <c r="AH96" s="43"/>
      <c r="AR96" s="155"/>
      <c r="AS96" s="155"/>
    </row>
    <row r="97" spans="2:45" ht="27" customHeight="1" x14ac:dyDescent="0.15">
      <c r="B97" s="183">
        <f>IF(AE97&lt;1,42,"ｱｽﾘｰﾄﾋﾞﾌﾞｽが重複しています")</f>
        <v>42</v>
      </c>
      <c r="C97" s="191"/>
      <c r="D97" s="191"/>
      <c r="E97" s="38"/>
      <c r="F97" s="173"/>
      <c r="G97" s="130"/>
      <c r="H97" s="130"/>
      <c r="I97" s="105"/>
      <c r="J97" s="159" t="str">
        <f t="shared" ref="J97" si="56">IF(E97="","",IF(LEN(E97)-LEN(SUBSTITUTE(SUBSTITUTE(E97," ",),"　",))=1,"","氏名ｽﾍﾟｰｽ数"&amp;LEN(E97)-LEN(SUBSTITUTE(SUBSTITUTE(E97," ",),"　",))))</f>
        <v/>
      </c>
      <c r="K97" s="53"/>
      <c r="L97" s="53"/>
      <c r="M97" s="51"/>
      <c r="N97" s="51"/>
      <c r="Y97" s="97" t="str">
        <f>IF(D97="","",C97&amp;D97)</f>
        <v/>
      </c>
      <c r="Z97" s="97">
        <f>IF(Y97="",1,Y97)</f>
        <v>1</v>
      </c>
      <c r="AA97" s="97">
        <f>IF(ISERROR(VLOOKUP(Z97,$Y$13:Y96,1,FALSE)),0,VLOOKUP(Z97,$Y$13:Y96,1,FALSE))</f>
        <v>0</v>
      </c>
      <c r="AB97" s="97" t="str">
        <f>IF(D97="","",C97&amp;D97&amp;E97)</f>
        <v/>
      </c>
      <c r="AC97" s="97">
        <f>IF(AB97="",1,AB97)</f>
        <v>1</v>
      </c>
      <c r="AD97" s="98">
        <f>IF(ISERROR(VLOOKUP(AC97,$AB$13:AB96,1,FALSE)),0,VLOOKUP(AC97,$AB$13:AB96,1,FALSE))</f>
        <v>0</v>
      </c>
      <c r="AE97" s="98">
        <f>IF(Z97=AA97,1,0)-AD98</f>
        <v>0</v>
      </c>
      <c r="AF97" s="146">
        <f>IF($B$4="中学",$B$4&amp;C97,C97)</f>
        <v>0</v>
      </c>
      <c r="AG97" s="97" t="str">
        <f>C97&amp;G97</f>
        <v/>
      </c>
      <c r="AH97" s="39" t="str">
        <f>C97&amp;H97</f>
        <v/>
      </c>
      <c r="AR97" s="155" t="str">
        <f t="shared" si="47"/>
        <v/>
      </c>
      <c r="AS97" s="155">
        <f t="shared" si="48"/>
        <v>0</v>
      </c>
    </row>
    <row r="98" spans="2:45" ht="27" customHeight="1" x14ac:dyDescent="0.15">
      <c r="B98" s="184"/>
      <c r="C98" s="191"/>
      <c r="D98" s="191"/>
      <c r="E98" s="38"/>
      <c r="F98" s="174"/>
      <c r="G98" s="130"/>
      <c r="H98" s="130"/>
      <c r="I98" s="105"/>
      <c r="J98" s="160"/>
      <c r="K98" s="53"/>
      <c r="L98" s="53"/>
      <c r="M98" s="51"/>
      <c r="N98" s="52"/>
      <c r="Y98" s="100"/>
      <c r="Z98" s="100"/>
      <c r="AA98" s="100"/>
      <c r="AB98" s="100"/>
      <c r="AC98" s="100"/>
      <c r="AD98" s="98">
        <f>IF(AC97=AD97,1,0)</f>
        <v>0</v>
      </c>
      <c r="AE98" s="98"/>
      <c r="AF98" s="147"/>
      <c r="AG98" s="100"/>
      <c r="AH98" s="43"/>
      <c r="AR98" s="155"/>
      <c r="AS98" s="155"/>
    </row>
    <row r="99" spans="2:45" ht="27" customHeight="1" x14ac:dyDescent="0.15">
      <c r="B99" s="183">
        <f>IF(AE99&lt;1,43,"ｱｽﾘｰﾄﾋﾞﾌﾞｽが重複しています")</f>
        <v>43</v>
      </c>
      <c r="C99" s="191"/>
      <c r="D99" s="191"/>
      <c r="E99" s="38"/>
      <c r="F99" s="173"/>
      <c r="G99" s="130"/>
      <c r="H99" s="130"/>
      <c r="I99" s="105"/>
      <c r="J99" s="159" t="str">
        <f t="shared" ref="J99" si="57">IF(E99="","",IF(LEN(E99)-LEN(SUBSTITUTE(SUBSTITUTE(E99," ",),"　",))=1,"","氏名ｽﾍﾟｰｽ数"&amp;LEN(E99)-LEN(SUBSTITUTE(SUBSTITUTE(E99," ",),"　",))))</f>
        <v/>
      </c>
      <c r="K99" s="53"/>
      <c r="L99" s="53"/>
      <c r="M99" s="51"/>
      <c r="N99" s="52"/>
      <c r="Y99" s="97" t="str">
        <f>IF(D99="","",C99&amp;D99)</f>
        <v/>
      </c>
      <c r="Z99" s="97">
        <f>IF(Y99="",1,Y99)</f>
        <v>1</v>
      </c>
      <c r="AA99" s="97">
        <f>IF(ISERROR(VLOOKUP(Z99,$Y$13:Y98,1,FALSE)),0,VLOOKUP(Z99,$Y$13:Y98,1,FALSE))</f>
        <v>0</v>
      </c>
      <c r="AB99" s="97" t="str">
        <f>IF(D99="","",C99&amp;D99&amp;E99)</f>
        <v/>
      </c>
      <c r="AC99" s="97">
        <f>IF(AB99="",1,AB99)</f>
        <v>1</v>
      </c>
      <c r="AD99" s="98">
        <f>IF(ISERROR(VLOOKUP(AC99,$AB$13:AB98,1,FALSE)),0,VLOOKUP(AC99,$AB$13:AB98,1,FALSE))</f>
        <v>0</v>
      </c>
      <c r="AE99" s="98">
        <f>IF(Z99=AA99,1,0)-AD100</f>
        <v>0</v>
      </c>
      <c r="AF99" s="146">
        <f>IF($B$4="中学",$B$4&amp;C99,C99)</f>
        <v>0</v>
      </c>
      <c r="AG99" s="97" t="str">
        <f>C99&amp;G99</f>
        <v/>
      </c>
      <c r="AH99" s="39" t="str">
        <f>C99&amp;H99</f>
        <v/>
      </c>
      <c r="AR99" s="155" t="str">
        <f t="shared" si="47"/>
        <v/>
      </c>
      <c r="AS99" s="155">
        <f t="shared" si="48"/>
        <v>0</v>
      </c>
    </row>
    <row r="100" spans="2:45" ht="27" customHeight="1" x14ac:dyDescent="0.15">
      <c r="B100" s="184"/>
      <c r="C100" s="191"/>
      <c r="D100" s="191"/>
      <c r="E100" s="38"/>
      <c r="F100" s="174"/>
      <c r="G100" s="130"/>
      <c r="H100" s="130"/>
      <c r="I100" s="105"/>
      <c r="J100" s="160"/>
      <c r="K100" s="53"/>
      <c r="L100" s="53"/>
      <c r="M100" s="51"/>
      <c r="N100" s="51"/>
      <c r="Y100" s="100"/>
      <c r="Z100" s="100"/>
      <c r="AA100" s="100"/>
      <c r="AB100" s="100"/>
      <c r="AC100" s="100"/>
      <c r="AD100" s="98">
        <f>IF(AC99=AD99,1,0)</f>
        <v>0</v>
      </c>
      <c r="AE100" s="98"/>
      <c r="AF100" s="147"/>
      <c r="AG100" s="100"/>
      <c r="AH100" s="43"/>
      <c r="AR100" s="155"/>
      <c r="AS100" s="155"/>
    </row>
    <row r="101" spans="2:45" ht="27" customHeight="1" x14ac:dyDescent="0.15">
      <c r="B101" s="183">
        <f>IF(AE101&lt;1,44,"ｱｽﾘｰﾄﾋﾞﾌﾞｽが重複しています")</f>
        <v>44</v>
      </c>
      <c r="C101" s="191"/>
      <c r="D101" s="191"/>
      <c r="E101" s="38"/>
      <c r="F101" s="173"/>
      <c r="G101" s="130"/>
      <c r="H101" s="130"/>
      <c r="I101" s="105"/>
      <c r="J101" s="159" t="str">
        <f t="shared" ref="J101" si="58">IF(E101="","",IF(LEN(E101)-LEN(SUBSTITUTE(SUBSTITUTE(E101," ",),"　",))=1,"","氏名ｽﾍﾟｰｽ数"&amp;LEN(E101)-LEN(SUBSTITUTE(SUBSTITUTE(E101," ",),"　",))))</f>
        <v/>
      </c>
      <c r="K101" s="53"/>
      <c r="L101" s="53"/>
      <c r="M101" s="51"/>
      <c r="N101" s="52"/>
      <c r="Y101" s="97" t="str">
        <f>IF(D101="","",C101&amp;D101)</f>
        <v/>
      </c>
      <c r="Z101" s="97">
        <f>IF(Y101="",1,Y101)</f>
        <v>1</v>
      </c>
      <c r="AA101" s="97">
        <f>IF(ISERROR(VLOOKUP(Z101,$Y$13:Y100,1,FALSE)),0,VLOOKUP(Z101,$Y$13:Y100,1,FALSE))</f>
        <v>0</v>
      </c>
      <c r="AB101" s="97" t="str">
        <f>IF(D101="","",C101&amp;D101&amp;E101)</f>
        <v/>
      </c>
      <c r="AC101" s="97">
        <f>IF(AB101="",1,AB101)</f>
        <v>1</v>
      </c>
      <c r="AD101" s="98">
        <f>IF(ISERROR(VLOOKUP(AC101,$AB$13:AB100,1,FALSE)),0,VLOOKUP(AC101,$AB$13:AB100,1,FALSE))</f>
        <v>0</v>
      </c>
      <c r="AE101" s="98">
        <f>IF(Z101=AA101,1,0)-AD102</f>
        <v>0</v>
      </c>
      <c r="AF101" s="146">
        <f>IF($B$4="中学",$B$4&amp;C101,C101)</f>
        <v>0</v>
      </c>
      <c r="AG101" s="97" t="str">
        <f>C101&amp;G101</f>
        <v/>
      </c>
      <c r="AH101" s="39" t="str">
        <f>C101&amp;H101</f>
        <v/>
      </c>
      <c r="AR101" s="155" t="str">
        <f t="shared" si="47"/>
        <v/>
      </c>
      <c r="AS101" s="155">
        <f t="shared" si="48"/>
        <v>0</v>
      </c>
    </row>
    <row r="102" spans="2:45" ht="27" customHeight="1" x14ac:dyDescent="0.15">
      <c r="B102" s="184"/>
      <c r="C102" s="191"/>
      <c r="D102" s="191"/>
      <c r="E102" s="38"/>
      <c r="F102" s="174"/>
      <c r="G102" s="130"/>
      <c r="H102" s="130"/>
      <c r="I102" s="105"/>
      <c r="J102" s="160"/>
      <c r="K102" s="53"/>
      <c r="L102" s="53"/>
      <c r="M102" s="51"/>
      <c r="N102" s="52"/>
      <c r="Y102" s="100"/>
      <c r="Z102" s="100"/>
      <c r="AA102" s="100"/>
      <c r="AB102" s="100"/>
      <c r="AC102" s="100"/>
      <c r="AD102" s="98">
        <f>IF(AC101=AD101,1,0)</f>
        <v>0</v>
      </c>
      <c r="AE102" s="98"/>
      <c r="AF102" s="147"/>
      <c r="AG102" s="100"/>
      <c r="AH102" s="43"/>
      <c r="AR102" s="155"/>
      <c r="AS102" s="155"/>
    </row>
    <row r="103" spans="2:45" ht="27" customHeight="1" x14ac:dyDescent="0.15">
      <c r="B103" s="183">
        <f>IF(AE103&lt;1,45,"ｱｽﾘｰﾄﾋﾞﾌﾞｽが重複しています")</f>
        <v>45</v>
      </c>
      <c r="C103" s="191"/>
      <c r="D103" s="191"/>
      <c r="E103" s="38"/>
      <c r="F103" s="173"/>
      <c r="G103" s="130"/>
      <c r="H103" s="130"/>
      <c r="I103" s="105"/>
      <c r="J103" s="159" t="str">
        <f t="shared" ref="J103" si="59">IF(E103="","",IF(LEN(E103)-LEN(SUBSTITUTE(SUBSTITUTE(E103," ",),"　",))=1,"","氏名ｽﾍﾟｰｽ数"&amp;LEN(E103)-LEN(SUBSTITUTE(SUBSTITUTE(E103," ",),"　",))))</f>
        <v/>
      </c>
      <c r="K103" s="53"/>
      <c r="L103" s="53"/>
      <c r="M103" s="51"/>
      <c r="N103" s="51"/>
      <c r="Y103" s="97" t="str">
        <f>IF(D103="","",C103&amp;D103)</f>
        <v/>
      </c>
      <c r="Z103" s="97">
        <f>IF(Y103="",1,Y103)</f>
        <v>1</v>
      </c>
      <c r="AA103" s="97">
        <f>IF(ISERROR(VLOOKUP(Z103,$Y$13:Y102,1,FALSE)),0,VLOOKUP(Z103,$Y$13:Y102,1,FALSE))</f>
        <v>0</v>
      </c>
      <c r="AB103" s="97" t="str">
        <f>IF(D103="","",C103&amp;D103&amp;E103)</f>
        <v/>
      </c>
      <c r="AC103" s="97">
        <f>IF(AB103="",1,AB103)</f>
        <v>1</v>
      </c>
      <c r="AD103" s="98">
        <f>IF(ISERROR(VLOOKUP(AC103,$AB$13:AB102,1,FALSE)),0,VLOOKUP(AC103,$AB$13:AB102,1,FALSE))</f>
        <v>0</v>
      </c>
      <c r="AE103" s="98">
        <f>IF(Z103=AA103,1,0)-AD104</f>
        <v>0</v>
      </c>
      <c r="AF103" s="146">
        <f>IF($B$4="中学",$B$4&amp;C103,C103)</f>
        <v>0</v>
      </c>
      <c r="AG103" s="97" t="str">
        <f>C103&amp;G103</f>
        <v/>
      </c>
      <c r="AH103" s="39" t="str">
        <f>C103&amp;H103</f>
        <v/>
      </c>
      <c r="AR103" s="155" t="str">
        <f t="shared" si="47"/>
        <v/>
      </c>
      <c r="AS103" s="155">
        <f t="shared" si="48"/>
        <v>0</v>
      </c>
    </row>
    <row r="104" spans="2:45" ht="27" customHeight="1" x14ac:dyDescent="0.15">
      <c r="B104" s="184"/>
      <c r="C104" s="191"/>
      <c r="D104" s="191"/>
      <c r="E104" s="38"/>
      <c r="F104" s="174"/>
      <c r="G104" s="130"/>
      <c r="H104" s="130"/>
      <c r="I104" s="105"/>
      <c r="J104" s="160"/>
      <c r="K104" s="53"/>
      <c r="L104" s="53"/>
      <c r="M104" s="51"/>
      <c r="N104" s="51"/>
      <c r="Y104" s="100"/>
      <c r="Z104" s="100"/>
      <c r="AA104" s="100"/>
      <c r="AB104" s="100"/>
      <c r="AC104" s="100"/>
      <c r="AD104" s="98">
        <f>IF(AC103=AD103,1,0)</f>
        <v>0</v>
      </c>
      <c r="AE104" s="98"/>
      <c r="AF104" s="147"/>
      <c r="AG104" s="100"/>
      <c r="AH104" s="43"/>
      <c r="AR104" s="155"/>
      <c r="AS104" s="155"/>
    </row>
    <row r="105" spans="2:45" ht="27" customHeight="1" x14ac:dyDescent="0.15">
      <c r="B105" s="183">
        <f>IF(AE105&lt;1,46,"ｱｽﾘｰﾄﾋﾞﾌﾞｽが重複しています")</f>
        <v>46</v>
      </c>
      <c r="C105" s="191"/>
      <c r="D105" s="191"/>
      <c r="E105" s="38"/>
      <c r="F105" s="173"/>
      <c r="G105" s="130"/>
      <c r="H105" s="130"/>
      <c r="I105" s="105"/>
      <c r="J105" s="159" t="str">
        <f t="shared" ref="J105" si="60">IF(E105="","",IF(LEN(E105)-LEN(SUBSTITUTE(SUBSTITUTE(E105," ",),"　",))=1,"","氏名ｽﾍﾟｰｽ数"&amp;LEN(E105)-LEN(SUBSTITUTE(SUBSTITUTE(E105," ",),"　",))))</f>
        <v/>
      </c>
      <c r="K105" s="54"/>
      <c r="L105" s="54"/>
      <c r="M105" s="51"/>
      <c r="N105" s="52"/>
      <c r="Y105" s="97" t="str">
        <f>IF(D105="","",C105&amp;D105)</f>
        <v/>
      </c>
      <c r="Z105" s="97">
        <f>IF(Y105="",1,Y105)</f>
        <v>1</v>
      </c>
      <c r="AA105" s="97">
        <f>IF(ISERROR(VLOOKUP(Z105,$Y$13:Y104,1,FALSE)),0,VLOOKUP(Z105,$Y$13:Y104,1,FALSE))</f>
        <v>0</v>
      </c>
      <c r="AB105" s="97" t="str">
        <f>IF(D105="","",C105&amp;D105&amp;E105)</f>
        <v/>
      </c>
      <c r="AC105" s="97">
        <f>IF(AB105="",1,AB105)</f>
        <v>1</v>
      </c>
      <c r="AD105" s="98">
        <f>IF(ISERROR(VLOOKUP(AC105,$AB$13:AB104,1,FALSE)),0,VLOOKUP(AC105,$AB$13:AB104,1,FALSE))</f>
        <v>0</v>
      </c>
      <c r="AE105" s="98">
        <f>IF(Z105=AA105,1,0)-AD106</f>
        <v>0</v>
      </c>
      <c r="AF105" s="146">
        <f>IF($B$4="中学",$B$4&amp;C105,C105)</f>
        <v>0</v>
      </c>
      <c r="AG105" s="97" t="str">
        <f>C105&amp;G105</f>
        <v/>
      </c>
      <c r="AH105" s="39" t="str">
        <f>C105&amp;H105</f>
        <v/>
      </c>
      <c r="AR105" s="155" t="str">
        <f t="shared" si="47"/>
        <v/>
      </c>
      <c r="AS105" s="155">
        <f t="shared" si="48"/>
        <v>0</v>
      </c>
    </row>
    <row r="106" spans="2:45" ht="27" customHeight="1" x14ac:dyDescent="0.15">
      <c r="B106" s="184"/>
      <c r="C106" s="191"/>
      <c r="D106" s="191"/>
      <c r="E106" s="38"/>
      <c r="F106" s="174"/>
      <c r="G106" s="130"/>
      <c r="H106" s="130"/>
      <c r="I106" s="105"/>
      <c r="J106" s="160"/>
      <c r="K106" s="53"/>
      <c r="L106" s="53"/>
      <c r="M106" s="51"/>
      <c r="N106" s="51"/>
      <c r="Y106" s="100"/>
      <c r="Z106" s="100"/>
      <c r="AA106" s="100"/>
      <c r="AB106" s="100"/>
      <c r="AC106" s="100"/>
      <c r="AD106" s="98">
        <f>IF(AC105=AD105,1,0)</f>
        <v>0</v>
      </c>
      <c r="AE106" s="98"/>
      <c r="AF106" s="147"/>
      <c r="AG106" s="100"/>
      <c r="AH106" s="43"/>
      <c r="AR106" s="155"/>
      <c r="AS106" s="155"/>
    </row>
    <row r="107" spans="2:45" ht="27" customHeight="1" x14ac:dyDescent="0.15">
      <c r="B107" s="183">
        <f>IF(AE107&lt;1,47,"ｱｽﾘｰﾄﾋﾞﾌﾞｽが重複しています")</f>
        <v>47</v>
      </c>
      <c r="C107" s="191"/>
      <c r="D107" s="191"/>
      <c r="E107" s="38"/>
      <c r="F107" s="173"/>
      <c r="G107" s="130"/>
      <c r="H107" s="130"/>
      <c r="I107" s="105"/>
      <c r="J107" s="159" t="str">
        <f t="shared" ref="J107" si="61">IF(E107="","",IF(LEN(E107)-LEN(SUBSTITUTE(SUBSTITUTE(E107," ",),"　",))=1,"","氏名ｽﾍﾟｰｽ数"&amp;LEN(E107)-LEN(SUBSTITUTE(SUBSTITUTE(E107," ",),"　",))))</f>
        <v/>
      </c>
      <c r="K107" s="53"/>
      <c r="L107" s="53"/>
      <c r="M107" s="51"/>
      <c r="N107" s="52"/>
      <c r="Y107" s="97" t="str">
        <f>IF(D107="","",C107&amp;D107)</f>
        <v/>
      </c>
      <c r="Z107" s="97">
        <f>IF(Y107="",1,Y107)</f>
        <v>1</v>
      </c>
      <c r="AA107" s="97">
        <f>IF(ISERROR(VLOOKUP(Z107,$Y$13:Y106,1,FALSE)),0,VLOOKUP(Z107,$Y$13:Y106,1,FALSE))</f>
        <v>0</v>
      </c>
      <c r="AB107" s="97" t="str">
        <f>IF(D107="","",C107&amp;D107&amp;E107)</f>
        <v/>
      </c>
      <c r="AC107" s="97">
        <f>IF(AB107="",1,AB107)</f>
        <v>1</v>
      </c>
      <c r="AD107" s="98">
        <f>IF(ISERROR(VLOOKUP(AC107,$AB$13:AB106,1,FALSE)),0,VLOOKUP(AC107,$AB$13:AB106,1,FALSE))</f>
        <v>0</v>
      </c>
      <c r="AE107" s="98">
        <f>IF(Z107=AA107,1,0)-AD108</f>
        <v>0</v>
      </c>
      <c r="AF107" s="146">
        <f>IF($B$4="中学",$B$4&amp;C107,C107)</f>
        <v>0</v>
      </c>
      <c r="AG107" s="97" t="str">
        <f>C107&amp;G107</f>
        <v/>
      </c>
      <c r="AH107" s="39" t="str">
        <f>C107&amp;H107</f>
        <v/>
      </c>
      <c r="AR107" s="155" t="str">
        <f t="shared" si="47"/>
        <v/>
      </c>
      <c r="AS107" s="155">
        <f t="shared" si="48"/>
        <v>0</v>
      </c>
    </row>
    <row r="108" spans="2:45" ht="27" customHeight="1" x14ac:dyDescent="0.15">
      <c r="B108" s="184"/>
      <c r="C108" s="191"/>
      <c r="D108" s="191"/>
      <c r="E108" s="38"/>
      <c r="F108" s="174"/>
      <c r="G108" s="130"/>
      <c r="H108" s="130"/>
      <c r="I108" s="105"/>
      <c r="J108" s="160"/>
      <c r="K108" s="53"/>
      <c r="L108" s="53"/>
      <c r="M108" s="51"/>
      <c r="N108" s="51"/>
      <c r="Y108" s="100"/>
      <c r="Z108" s="100"/>
      <c r="AA108" s="100"/>
      <c r="AB108" s="100"/>
      <c r="AC108" s="100"/>
      <c r="AD108" s="98">
        <f>IF(AC107=AD107,1,0)</f>
        <v>0</v>
      </c>
      <c r="AE108" s="98"/>
      <c r="AF108" s="147"/>
      <c r="AG108" s="100"/>
      <c r="AH108" s="43"/>
      <c r="AR108" s="155"/>
      <c r="AS108" s="155"/>
    </row>
    <row r="109" spans="2:45" ht="27" customHeight="1" x14ac:dyDescent="0.15">
      <c r="B109" s="183">
        <f>IF(AE109&lt;1,48,"ｱｽﾘｰﾄﾋﾞﾌﾞｽが重複しています")</f>
        <v>48</v>
      </c>
      <c r="C109" s="191"/>
      <c r="D109" s="191"/>
      <c r="E109" s="38"/>
      <c r="F109" s="173"/>
      <c r="G109" s="130"/>
      <c r="H109" s="130"/>
      <c r="I109" s="105"/>
      <c r="J109" s="159" t="str">
        <f t="shared" ref="J109" si="62">IF(E109="","",IF(LEN(E109)-LEN(SUBSTITUTE(SUBSTITUTE(E109," ",),"　",))=1,"","氏名ｽﾍﾟｰｽ数"&amp;LEN(E109)-LEN(SUBSTITUTE(SUBSTITUTE(E109," ",),"　",))))</f>
        <v/>
      </c>
      <c r="K109" s="53"/>
      <c r="L109" s="53"/>
      <c r="M109" s="51"/>
      <c r="N109" s="52"/>
      <c r="Y109" s="97" t="str">
        <f>IF(D109="","",C109&amp;D109)</f>
        <v/>
      </c>
      <c r="Z109" s="97">
        <f>IF(Y109="",1,Y109)</f>
        <v>1</v>
      </c>
      <c r="AA109" s="97">
        <f>IF(ISERROR(VLOOKUP(Z109,$Y$13:Y108,1,FALSE)),0,VLOOKUP(Z109,$Y$13:Y108,1,FALSE))</f>
        <v>0</v>
      </c>
      <c r="AB109" s="97" t="str">
        <f>IF(D109="","",C109&amp;D109&amp;E109)</f>
        <v/>
      </c>
      <c r="AC109" s="97">
        <f>IF(AB109="",1,AB109)</f>
        <v>1</v>
      </c>
      <c r="AD109" s="98">
        <f>IF(ISERROR(VLOOKUP(AC109,$AB$13:AB108,1,FALSE)),0,VLOOKUP(AC109,$AB$13:AB108,1,FALSE))</f>
        <v>0</v>
      </c>
      <c r="AE109" s="98">
        <f>IF(Z109=AA109,1,0)-AD110</f>
        <v>0</v>
      </c>
      <c r="AF109" s="146">
        <f>IF($B$4="中学",$B$4&amp;C109,C109)</f>
        <v>0</v>
      </c>
      <c r="AG109" s="97" t="str">
        <f>C109&amp;G109</f>
        <v/>
      </c>
      <c r="AH109" s="39" t="str">
        <f>C109&amp;H109</f>
        <v/>
      </c>
      <c r="AR109" s="155" t="str">
        <f t="shared" si="47"/>
        <v/>
      </c>
      <c r="AS109" s="155">
        <f t="shared" si="48"/>
        <v>0</v>
      </c>
    </row>
    <row r="110" spans="2:45" ht="27" customHeight="1" x14ac:dyDescent="0.15">
      <c r="B110" s="184"/>
      <c r="C110" s="191"/>
      <c r="D110" s="191"/>
      <c r="E110" s="38"/>
      <c r="F110" s="174"/>
      <c r="G110" s="130"/>
      <c r="H110" s="130"/>
      <c r="I110" s="105"/>
      <c r="J110" s="160"/>
      <c r="K110" s="53"/>
      <c r="L110" s="53"/>
      <c r="M110" s="51"/>
      <c r="N110" s="52"/>
      <c r="Y110" s="100"/>
      <c r="Z110" s="100"/>
      <c r="AA110" s="100"/>
      <c r="AB110" s="100"/>
      <c r="AC110" s="100"/>
      <c r="AD110" s="98">
        <f>IF(AC109=AD109,1,0)</f>
        <v>0</v>
      </c>
      <c r="AE110" s="98"/>
      <c r="AF110" s="147"/>
      <c r="AG110" s="100"/>
      <c r="AH110" s="43"/>
      <c r="AR110" s="155"/>
      <c r="AS110" s="155"/>
    </row>
    <row r="111" spans="2:45" ht="27" customHeight="1" x14ac:dyDescent="0.15">
      <c r="B111" s="183">
        <f>IF(AE111&lt;1,49,"ｱｽﾘｰﾄﾋﾞﾌﾞｽが重複しています")</f>
        <v>49</v>
      </c>
      <c r="C111" s="191"/>
      <c r="D111" s="191"/>
      <c r="E111" s="38"/>
      <c r="F111" s="173"/>
      <c r="G111" s="130"/>
      <c r="H111" s="130"/>
      <c r="I111" s="105"/>
      <c r="J111" s="159" t="str">
        <f t="shared" ref="J111" si="63">IF(E111="","",IF(LEN(E111)-LEN(SUBSTITUTE(SUBSTITUTE(E111," ",),"　",))=1,"","氏名ｽﾍﾟｰｽ数"&amp;LEN(E111)-LEN(SUBSTITUTE(SUBSTITUTE(E111," ",),"　",))))</f>
        <v/>
      </c>
      <c r="K111" s="53"/>
      <c r="L111" s="53"/>
      <c r="M111" s="51"/>
      <c r="N111" s="52"/>
      <c r="Y111" s="97" t="str">
        <f>IF(D111="","",C111&amp;D111)</f>
        <v/>
      </c>
      <c r="Z111" s="97">
        <f>IF(Y111="",1,Y111)</f>
        <v>1</v>
      </c>
      <c r="AA111" s="97">
        <f>IF(ISERROR(VLOOKUP(Z111,$Y$13:Y110,1,FALSE)),0,VLOOKUP(Z111,$Y$13:Y110,1,FALSE))</f>
        <v>0</v>
      </c>
      <c r="AB111" s="97" t="str">
        <f>IF(D111="","",C111&amp;D111&amp;E111)</f>
        <v/>
      </c>
      <c r="AC111" s="97">
        <f>IF(AB111="",1,AB111)</f>
        <v>1</v>
      </c>
      <c r="AD111" s="98">
        <f>IF(ISERROR(VLOOKUP(AC111,$AB$13:AB110,1,FALSE)),0,VLOOKUP(AC111,$AB$13:AB110,1,FALSE))</f>
        <v>0</v>
      </c>
      <c r="AE111" s="98">
        <f>IF(Z111=AA111,1,0)-AD112</f>
        <v>0</v>
      </c>
      <c r="AF111" s="146">
        <f>IF($B$4="中学",$B$4&amp;C111,C111)</f>
        <v>0</v>
      </c>
      <c r="AG111" s="97" t="str">
        <f>C111&amp;G111</f>
        <v/>
      </c>
      <c r="AH111" s="39" t="str">
        <f>C111&amp;H111</f>
        <v/>
      </c>
      <c r="AR111" s="155" t="str">
        <f t="shared" si="47"/>
        <v/>
      </c>
      <c r="AS111" s="155">
        <f t="shared" si="48"/>
        <v>0</v>
      </c>
    </row>
    <row r="112" spans="2:45" ht="27" customHeight="1" x14ac:dyDescent="0.15">
      <c r="B112" s="184"/>
      <c r="C112" s="191"/>
      <c r="D112" s="191"/>
      <c r="E112" s="38"/>
      <c r="F112" s="174"/>
      <c r="G112" s="130"/>
      <c r="H112" s="130"/>
      <c r="I112" s="105"/>
      <c r="J112" s="160"/>
      <c r="K112" s="53"/>
      <c r="L112" s="53"/>
      <c r="M112" s="51"/>
      <c r="N112" s="52"/>
      <c r="Y112" s="100"/>
      <c r="Z112" s="100"/>
      <c r="AA112" s="100"/>
      <c r="AB112" s="100"/>
      <c r="AC112" s="100"/>
      <c r="AD112" s="98">
        <f>IF(AC111=AD111,1,0)</f>
        <v>0</v>
      </c>
      <c r="AE112" s="98"/>
      <c r="AF112" s="147"/>
      <c r="AG112" s="100"/>
      <c r="AH112" s="43"/>
      <c r="AR112" s="155"/>
      <c r="AS112" s="155"/>
    </row>
    <row r="113" spans="2:45" ht="27" customHeight="1" thickBot="1" x14ac:dyDescent="0.2">
      <c r="B113" s="232">
        <f>IF(AE113&lt;1,50,"ｱｽﾘｰﾄﾋﾞﾌﾞｽが重複しています")</f>
        <v>50</v>
      </c>
      <c r="C113" s="191"/>
      <c r="D113" s="191"/>
      <c r="E113" s="38"/>
      <c r="F113" s="173"/>
      <c r="G113" s="130"/>
      <c r="H113" s="130"/>
      <c r="I113" s="105"/>
      <c r="J113" s="159" t="str">
        <f t="shared" ref="J113" si="64">IF(E113="","",IF(LEN(E113)-LEN(SUBSTITUTE(SUBSTITUTE(E113," ",),"　",))=1,"","氏名ｽﾍﾟｰｽ数"&amp;LEN(E113)-LEN(SUBSTITUTE(SUBSTITUTE(E113," ",),"　",))))</f>
        <v/>
      </c>
      <c r="K113" s="53"/>
      <c r="L113" s="53"/>
      <c r="M113" s="52"/>
      <c r="N113" s="52"/>
      <c r="Y113" s="97" t="str">
        <f>IF(D113="","",C113&amp;D113)</f>
        <v/>
      </c>
      <c r="Z113" s="97">
        <f>IF(Y113="",1,Y113)</f>
        <v>1</v>
      </c>
      <c r="AA113" s="97">
        <f>IF(ISERROR(VLOOKUP(Z113,$Y$13:Y112,1,FALSE)),0,VLOOKUP(Z113,$Y$13:Y112,1,FALSE))</f>
        <v>0</v>
      </c>
      <c r="AB113" s="97" t="str">
        <f>IF(D113="","",C113&amp;D113&amp;E113)</f>
        <v/>
      </c>
      <c r="AC113" s="97">
        <f>IF(AB113="",1,AB113)</f>
        <v>1</v>
      </c>
      <c r="AD113" s="98">
        <f>IF(ISERROR(VLOOKUP(AC113,$AB$13:AB112,1,FALSE)),0,VLOOKUP(AC113,$AB$13:AB112,1,FALSE))</f>
        <v>0</v>
      </c>
      <c r="AE113" s="98">
        <f>IF(Z113=AA113,1,0)-AD114</f>
        <v>0</v>
      </c>
      <c r="AF113" s="146">
        <f>IF($B$4="中学",$B$4&amp;C113,C113)</f>
        <v>0</v>
      </c>
      <c r="AG113" s="97" t="str">
        <f>C113&amp;G113</f>
        <v/>
      </c>
      <c r="AH113" s="39" t="str">
        <f>C113&amp;H113</f>
        <v/>
      </c>
      <c r="AR113" s="155" t="str">
        <f t="shared" si="47"/>
        <v/>
      </c>
      <c r="AS113" s="155">
        <f t="shared" si="48"/>
        <v>0</v>
      </c>
    </row>
    <row r="114" spans="2:45" ht="27" customHeight="1" thickBot="1" x14ac:dyDescent="0.2">
      <c r="B114" s="233"/>
      <c r="C114" s="234"/>
      <c r="D114" s="234"/>
      <c r="E114" s="50"/>
      <c r="F114" s="175"/>
      <c r="G114" s="131"/>
      <c r="H114" s="131"/>
      <c r="I114" s="106"/>
      <c r="J114" s="160"/>
      <c r="K114" s="53"/>
      <c r="L114" s="53"/>
      <c r="M114" s="52"/>
      <c r="N114" s="52"/>
      <c r="Y114" s="100"/>
      <c r="Z114" s="100"/>
      <c r="AA114" s="100"/>
      <c r="AB114" s="100"/>
      <c r="AC114" s="100"/>
      <c r="AD114" s="98">
        <f>IF(AC113=AD113,1,0)</f>
        <v>0</v>
      </c>
      <c r="AE114" s="98"/>
      <c r="AF114" s="147"/>
      <c r="AG114" s="100"/>
      <c r="AH114" s="43"/>
      <c r="AR114" s="155"/>
      <c r="AS114" s="155"/>
    </row>
    <row r="115" spans="2:45" ht="20.25" customHeight="1" x14ac:dyDescent="0.15">
      <c r="K115" s="55"/>
      <c r="L115" s="55"/>
      <c r="M115" s="56"/>
      <c r="N115" s="56"/>
      <c r="Y115" s="40"/>
      <c r="Z115" s="40"/>
      <c r="AA115" s="40"/>
      <c r="AB115" s="40"/>
      <c r="AC115" s="40"/>
      <c r="AD115" s="40"/>
      <c r="AE115" s="40"/>
      <c r="AF115" s="146"/>
      <c r="AI115" s="40"/>
      <c r="AJ115" s="96"/>
      <c r="AK115" s="96"/>
      <c r="AL115" s="44"/>
    </row>
    <row r="116" spans="2:45" ht="20.25" customHeight="1" x14ac:dyDescent="0.15">
      <c r="Y116" s="40"/>
      <c r="Z116" s="40"/>
      <c r="AA116" s="40"/>
      <c r="AB116" s="40"/>
      <c r="AC116" s="40"/>
      <c r="AD116" s="40"/>
      <c r="AE116" s="40"/>
      <c r="AF116" s="146"/>
      <c r="AI116" s="40"/>
      <c r="AJ116" s="96"/>
      <c r="AK116" s="96"/>
      <c r="AL116" s="44"/>
    </row>
    <row r="117" spans="2:45" ht="20.25" customHeight="1" x14ac:dyDescent="0.15">
      <c r="Y117" s="40"/>
      <c r="Z117" s="40"/>
      <c r="AA117" s="40"/>
      <c r="AB117" s="40"/>
      <c r="AC117" s="40"/>
      <c r="AD117" s="40"/>
      <c r="AE117" s="40"/>
      <c r="AF117" s="146"/>
      <c r="AI117" s="40"/>
      <c r="AJ117" s="96"/>
      <c r="AK117" s="96"/>
      <c r="AL117" s="44"/>
    </row>
    <row r="118" spans="2:45" x14ac:dyDescent="0.15">
      <c r="Y118" s="40"/>
      <c r="Z118" s="40"/>
      <c r="AA118" s="40"/>
      <c r="AB118" s="40"/>
      <c r="AC118" s="40"/>
      <c r="AD118" s="40"/>
      <c r="AE118" s="40"/>
      <c r="AF118" s="146"/>
      <c r="AI118" s="40"/>
      <c r="AJ118" s="96"/>
      <c r="AK118" s="96"/>
      <c r="AL118" s="44"/>
    </row>
    <row r="119" spans="2:45" x14ac:dyDescent="0.15">
      <c r="Y119" s="40"/>
      <c r="Z119" s="40"/>
      <c r="AA119" s="40"/>
      <c r="AB119" s="40"/>
      <c r="AC119" s="40"/>
      <c r="AD119" s="40"/>
      <c r="AE119" s="40"/>
      <c r="AF119" s="146"/>
      <c r="AI119" s="40"/>
      <c r="AJ119" s="96"/>
      <c r="AK119" s="96"/>
      <c r="AL119" s="44"/>
    </row>
    <row r="120" spans="2:45" x14ac:dyDescent="0.15">
      <c r="Y120" s="40"/>
      <c r="Z120" s="40"/>
      <c r="AA120" s="40"/>
      <c r="AB120" s="40"/>
      <c r="AC120" s="40"/>
      <c r="AD120" s="40"/>
      <c r="AE120" s="40"/>
      <c r="AF120" s="146"/>
      <c r="AI120" s="40"/>
      <c r="AJ120" s="96"/>
      <c r="AK120" s="96"/>
      <c r="AL120" s="44"/>
    </row>
    <row r="121" spans="2:45" x14ac:dyDescent="0.15">
      <c r="Y121" s="40"/>
      <c r="Z121" s="40"/>
      <c r="AA121" s="40"/>
      <c r="AB121" s="40"/>
      <c r="AC121" s="40"/>
      <c r="AD121" s="40"/>
      <c r="AE121" s="40"/>
      <c r="AF121" s="146"/>
      <c r="AI121" s="40"/>
      <c r="AJ121" s="96"/>
      <c r="AK121" s="96"/>
      <c r="AL121" s="44"/>
    </row>
    <row r="122" spans="2:45" x14ac:dyDescent="0.15">
      <c r="Y122" s="40"/>
      <c r="Z122" s="40"/>
      <c r="AA122" s="40"/>
      <c r="AB122" s="40"/>
      <c r="AC122" s="40"/>
      <c r="AD122" s="40"/>
      <c r="AE122" s="40"/>
      <c r="AF122" s="146"/>
      <c r="AI122" s="40"/>
      <c r="AJ122" s="96"/>
      <c r="AK122" s="96"/>
      <c r="AL122" s="44"/>
    </row>
    <row r="123" spans="2:45" x14ac:dyDescent="0.15">
      <c r="Y123" s="40"/>
      <c r="Z123" s="40"/>
      <c r="AA123" s="40"/>
      <c r="AB123" s="40"/>
      <c r="AC123" s="40"/>
      <c r="AD123" s="40"/>
      <c r="AE123" s="40"/>
      <c r="AF123" s="146"/>
      <c r="AI123" s="40"/>
      <c r="AJ123" s="96"/>
      <c r="AK123" s="96"/>
      <c r="AL123" s="44"/>
    </row>
    <row r="124" spans="2:45" x14ac:dyDescent="0.15">
      <c r="Y124" s="40"/>
      <c r="Z124" s="40"/>
      <c r="AA124" s="40"/>
      <c r="AB124" s="40"/>
      <c r="AC124" s="40"/>
      <c r="AD124" s="40"/>
      <c r="AE124" s="40"/>
      <c r="AF124" s="146"/>
      <c r="AI124" s="40"/>
      <c r="AJ124" s="96"/>
      <c r="AK124" s="96"/>
      <c r="AL124" s="44"/>
    </row>
    <row r="125" spans="2:45" x14ac:dyDescent="0.15">
      <c r="Y125" s="40"/>
      <c r="Z125" s="40"/>
      <c r="AA125" s="40"/>
      <c r="AB125" s="40"/>
      <c r="AC125" s="40"/>
      <c r="AD125" s="40"/>
      <c r="AE125" s="40"/>
      <c r="AF125" s="146"/>
      <c r="AI125" s="40"/>
      <c r="AJ125" s="96"/>
      <c r="AK125" s="96"/>
      <c r="AL125" s="44"/>
    </row>
    <row r="126" spans="2:45" x14ac:dyDescent="0.15">
      <c r="Y126" s="40"/>
      <c r="Z126" s="40"/>
      <c r="AA126" s="40"/>
      <c r="AB126" s="40"/>
      <c r="AC126" s="40"/>
      <c r="AD126" s="40"/>
      <c r="AE126" s="40"/>
      <c r="AF126" s="146"/>
      <c r="AI126" s="40"/>
      <c r="AJ126" s="96"/>
      <c r="AK126" s="96"/>
      <c r="AL126" s="44"/>
    </row>
    <row r="127" spans="2:45" x14ac:dyDescent="0.15">
      <c r="Y127" s="40"/>
      <c r="Z127" s="40"/>
      <c r="AA127" s="40"/>
      <c r="AB127" s="40"/>
      <c r="AC127" s="40"/>
      <c r="AD127" s="40"/>
      <c r="AE127" s="40"/>
      <c r="AF127" s="146"/>
      <c r="AI127" s="40"/>
      <c r="AJ127" s="96"/>
      <c r="AK127" s="96"/>
      <c r="AL127" s="44"/>
    </row>
    <row r="128" spans="2:45" x14ac:dyDescent="0.15">
      <c r="Y128" s="40"/>
      <c r="Z128" s="40"/>
      <c r="AA128" s="40"/>
      <c r="AB128" s="40"/>
      <c r="AC128" s="40"/>
      <c r="AD128" s="40"/>
      <c r="AE128" s="40"/>
      <c r="AF128" s="146"/>
      <c r="AI128" s="40"/>
      <c r="AJ128" s="96"/>
      <c r="AK128" s="96"/>
      <c r="AL128" s="44"/>
    </row>
    <row r="129" spans="25:38" x14ac:dyDescent="0.15">
      <c r="Y129" s="40"/>
      <c r="Z129" s="40"/>
      <c r="AA129" s="40"/>
      <c r="AB129" s="40"/>
      <c r="AC129" s="40"/>
      <c r="AD129" s="40"/>
      <c r="AE129" s="40"/>
      <c r="AF129" s="146"/>
      <c r="AI129" s="40"/>
      <c r="AJ129" s="96"/>
      <c r="AK129" s="96"/>
      <c r="AL129" s="44"/>
    </row>
    <row r="130" spans="25:38" x14ac:dyDescent="0.15">
      <c r="Y130" s="40"/>
      <c r="Z130" s="40"/>
      <c r="AA130" s="40"/>
      <c r="AB130" s="40"/>
      <c r="AC130" s="40"/>
      <c r="AD130" s="40"/>
      <c r="AE130" s="40"/>
      <c r="AF130" s="146"/>
      <c r="AI130" s="40"/>
      <c r="AJ130" s="96"/>
      <c r="AK130" s="96"/>
      <c r="AL130" s="44"/>
    </row>
    <row r="131" spans="25:38" x14ac:dyDescent="0.15">
      <c r="Y131" s="40"/>
      <c r="Z131" s="40"/>
      <c r="AA131" s="40"/>
      <c r="AB131" s="40"/>
      <c r="AC131" s="40"/>
      <c r="AD131" s="40"/>
      <c r="AE131" s="40"/>
      <c r="AF131" s="146"/>
      <c r="AI131" s="40"/>
      <c r="AJ131" s="96"/>
      <c r="AK131" s="96"/>
      <c r="AL131" s="44"/>
    </row>
    <row r="132" spans="25:38" x14ac:dyDescent="0.15">
      <c r="Y132" s="40"/>
      <c r="Z132" s="40"/>
      <c r="AA132" s="40"/>
      <c r="AB132" s="40"/>
      <c r="AC132" s="40"/>
      <c r="AD132" s="40"/>
      <c r="AE132" s="40"/>
      <c r="AF132" s="146"/>
      <c r="AI132" s="40"/>
      <c r="AJ132" s="96"/>
      <c r="AK132" s="96"/>
      <c r="AL132" s="44"/>
    </row>
    <row r="133" spans="25:38" x14ac:dyDescent="0.15">
      <c r="Y133" s="40"/>
      <c r="Z133" s="40"/>
      <c r="AA133" s="40"/>
      <c r="AB133" s="40"/>
      <c r="AC133" s="40"/>
      <c r="AD133" s="40"/>
      <c r="AE133" s="40"/>
      <c r="AF133" s="146"/>
      <c r="AI133" s="40"/>
      <c r="AJ133" s="96"/>
      <c r="AK133" s="96"/>
      <c r="AL133" s="44"/>
    </row>
    <row r="134" spans="25:38" x14ac:dyDescent="0.15">
      <c r="Y134" s="40"/>
      <c r="Z134" s="40"/>
      <c r="AA134" s="40"/>
      <c r="AB134" s="40"/>
      <c r="AC134" s="40"/>
      <c r="AD134" s="40"/>
      <c r="AE134" s="40"/>
      <c r="AF134" s="146"/>
      <c r="AI134" s="40"/>
      <c r="AJ134" s="96"/>
      <c r="AK134" s="96"/>
      <c r="AL134" s="44"/>
    </row>
    <row r="135" spans="25:38" x14ac:dyDescent="0.15">
      <c r="Y135" s="40"/>
      <c r="Z135" s="40"/>
      <c r="AA135" s="40"/>
      <c r="AB135" s="40"/>
      <c r="AC135" s="40"/>
      <c r="AD135" s="40"/>
      <c r="AE135" s="40"/>
      <c r="AF135" s="147"/>
      <c r="AI135" s="44"/>
      <c r="AJ135" s="44"/>
      <c r="AK135" s="44"/>
      <c r="AL135" s="44"/>
    </row>
    <row r="136" spans="25:38" x14ac:dyDescent="0.15">
      <c r="Y136" s="40"/>
      <c r="Z136" s="40"/>
      <c r="AA136" s="40"/>
      <c r="AB136" s="40"/>
      <c r="AC136" s="40"/>
      <c r="AD136" s="40"/>
      <c r="AE136" s="40"/>
      <c r="AF136" s="147"/>
      <c r="AI136" s="44"/>
      <c r="AJ136" s="44"/>
      <c r="AK136" s="44"/>
      <c r="AL136" s="44"/>
    </row>
    <row r="137" spans="25:38" x14ac:dyDescent="0.15">
      <c r="Y137" s="40"/>
      <c r="Z137" s="40"/>
      <c r="AA137" s="40"/>
      <c r="AB137" s="40"/>
      <c r="AC137" s="40"/>
      <c r="AD137" s="40"/>
      <c r="AE137" s="40"/>
    </row>
    <row r="138" spans="25:38" x14ac:dyDescent="0.15">
      <c r="Y138" s="40"/>
      <c r="Z138" s="40"/>
      <c r="AA138" s="40"/>
      <c r="AB138" s="40"/>
      <c r="AC138" s="40"/>
      <c r="AD138" s="40"/>
      <c r="AE138" s="40"/>
    </row>
    <row r="139" spans="25:38" x14ac:dyDescent="0.15">
      <c r="Y139" s="40"/>
      <c r="Z139" s="40"/>
      <c r="AA139" s="40"/>
      <c r="AB139" s="40"/>
      <c r="AC139" s="40"/>
      <c r="AD139" s="40"/>
      <c r="AE139" s="40"/>
    </row>
    <row r="140" spans="25:38" x14ac:dyDescent="0.15">
      <c r="Y140" s="40"/>
      <c r="Z140" s="40"/>
      <c r="AA140" s="40"/>
      <c r="AB140" s="40"/>
      <c r="AC140" s="40"/>
      <c r="AD140" s="40"/>
      <c r="AE140" s="40"/>
    </row>
    <row r="141" spans="25:38" x14ac:dyDescent="0.15">
      <c r="Y141" s="40"/>
      <c r="Z141" s="40"/>
      <c r="AA141" s="40"/>
      <c r="AB141" s="40"/>
      <c r="AC141" s="40"/>
      <c r="AD141" s="40"/>
      <c r="AE141" s="40"/>
    </row>
    <row r="142" spans="25:38" x14ac:dyDescent="0.15">
      <c r="Y142" s="40"/>
      <c r="Z142" s="40"/>
      <c r="AA142" s="40"/>
      <c r="AB142" s="40"/>
      <c r="AC142" s="40"/>
      <c r="AD142" s="40"/>
      <c r="AE142" s="40"/>
    </row>
    <row r="143" spans="25:38" x14ac:dyDescent="0.15">
      <c r="Y143" s="40"/>
      <c r="Z143" s="40"/>
      <c r="AA143" s="40"/>
      <c r="AB143" s="40"/>
      <c r="AC143" s="40"/>
      <c r="AD143" s="40"/>
      <c r="AE143" s="40"/>
    </row>
    <row r="144" spans="25:38" x14ac:dyDescent="0.15">
      <c r="Y144" s="40"/>
      <c r="Z144" s="40"/>
      <c r="AA144" s="40"/>
      <c r="AB144" s="40"/>
      <c r="AC144" s="40"/>
      <c r="AD144" s="40"/>
      <c r="AE144" s="40"/>
    </row>
    <row r="145" spans="25:31" x14ac:dyDescent="0.15">
      <c r="Y145" s="40"/>
      <c r="Z145" s="40"/>
      <c r="AA145" s="40"/>
      <c r="AB145" s="40"/>
      <c r="AC145" s="40"/>
      <c r="AD145" s="40"/>
      <c r="AE145" s="40"/>
    </row>
    <row r="146" spans="25:31" x14ac:dyDescent="0.15">
      <c r="Y146" s="40"/>
      <c r="Z146" s="40"/>
      <c r="AA146" s="40"/>
      <c r="AB146" s="40"/>
      <c r="AC146" s="40"/>
      <c r="AD146" s="40"/>
      <c r="AE146" s="40"/>
    </row>
    <row r="147" spans="25:31" x14ac:dyDescent="0.15">
      <c r="Y147" s="40"/>
      <c r="Z147" s="40"/>
      <c r="AA147" s="40"/>
      <c r="AB147" s="40"/>
      <c r="AC147" s="40"/>
      <c r="AD147" s="40"/>
      <c r="AE147" s="40"/>
    </row>
    <row r="148" spans="25:31" x14ac:dyDescent="0.15">
      <c r="Y148" s="40"/>
      <c r="Z148" s="40"/>
      <c r="AA148" s="40"/>
      <c r="AB148" s="40"/>
      <c r="AC148" s="40"/>
      <c r="AD148" s="40"/>
      <c r="AE148" s="40"/>
    </row>
    <row r="149" spans="25:31" x14ac:dyDescent="0.15">
      <c r="Y149" s="40"/>
      <c r="Z149" s="40"/>
      <c r="AA149" s="40"/>
      <c r="AB149" s="40"/>
      <c r="AC149" s="40"/>
      <c r="AD149" s="40"/>
      <c r="AE149" s="40"/>
    </row>
    <row r="150" spans="25:31" x14ac:dyDescent="0.15">
      <c r="Y150" s="40"/>
      <c r="Z150" s="40"/>
      <c r="AA150" s="40"/>
      <c r="AB150" s="40"/>
      <c r="AC150" s="40"/>
      <c r="AD150" s="40"/>
      <c r="AE150" s="40"/>
    </row>
    <row r="151" spans="25:31" x14ac:dyDescent="0.15">
      <c r="Y151" s="40"/>
      <c r="Z151" s="40"/>
      <c r="AA151" s="40"/>
      <c r="AB151" s="40"/>
      <c r="AC151" s="40"/>
      <c r="AD151" s="40"/>
      <c r="AE151" s="40"/>
    </row>
    <row r="152" spans="25:31" x14ac:dyDescent="0.15">
      <c r="Y152" s="40"/>
      <c r="Z152" s="40"/>
      <c r="AA152" s="40"/>
      <c r="AB152" s="40"/>
      <c r="AC152" s="40"/>
      <c r="AD152" s="40"/>
      <c r="AE152" s="40"/>
    </row>
    <row r="153" spans="25:31" x14ac:dyDescent="0.15">
      <c r="Y153" s="40"/>
      <c r="Z153" s="40"/>
      <c r="AA153" s="40"/>
      <c r="AB153" s="40"/>
      <c r="AC153" s="40"/>
      <c r="AD153" s="40"/>
      <c r="AE153" s="40"/>
    </row>
    <row r="154" spans="25:31" x14ac:dyDescent="0.15">
      <c r="Y154" s="40"/>
      <c r="Z154" s="40"/>
      <c r="AA154" s="40"/>
      <c r="AB154" s="40"/>
      <c r="AC154" s="40"/>
      <c r="AD154" s="40"/>
      <c r="AE154" s="40"/>
    </row>
    <row r="155" spans="25:31" x14ac:dyDescent="0.15">
      <c r="Y155" s="40"/>
      <c r="Z155" s="40"/>
      <c r="AA155" s="40"/>
      <c r="AB155" s="40"/>
      <c r="AC155" s="40"/>
      <c r="AD155" s="40"/>
      <c r="AE155" s="40"/>
    </row>
    <row r="156" spans="25:31" x14ac:dyDescent="0.15">
      <c r="Y156" s="40"/>
      <c r="Z156" s="40"/>
      <c r="AA156" s="40"/>
      <c r="AB156" s="40"/>
      <c r="AC156" s="40"/>
      <c r="AD156" s="40"/>
      <c r="AE156" s="40"/>
    </row>
  </sheetData>
  <sheetProtection algorithmName="SHA-512" hashValue="2YiOX2PoLeshMh8axVPPl4uRxuQDUapFdygHHdKjjaN/beZ/x6Df8S0u7irQGDCDIdnsliZwmG86PIGf7BiF8w==" saltValue="7Q9/L+WzSEociqNmHAN+Gw==" spinCount="100000" sheet="1" objects="1" scenarios="1" selectLockedCells="1"/>
  <mergeCells count="228">
    <mergeCell ref="B101:B102"/>
    <mergeCell ref="C101:C102"/>
    <mergeCell ref="D101:D102"/>
    <mergeCell ref="C99:C100"/>
    <mergeCell ref="D99:D100"/>
    <mergeCell ref="B95:B96"/>
    <mergeCell ref="C95:C96"/>
    <mergeCell ref="D95:D96"/>
    <mergeCell ref="B97:B98"/>
    <mergeCell ref="D97:D98"/>
    <mergeCell ref="B99:B100"/>
    <mergeCell ref="B107:B108"/>
    <mergeCell ref="C107:C108"/>
    <mergeCell ref="D107:D108"/>
    <mergeCell ref="B103:B104"/>
    <mergeCell ref="C103:C104"/>
    <mergeCell ref="D103:D104"/>
    <mergeCell ref="B105:B106"/>
    <mergeCell ref="C105:C106"/>
    <mergeCell ref="D105:D106"/>
    <mergeCell ref="B113:B114"/>
    <mergeCell ref="C113:C114"/>
    <mergeCell ref="D113:D114"/>
    <mergeCell ref="B109:B110"/>
    <mergeCell ref="C109:C110"/>
    <mergeCell ref="D109:D110"/>
    <mergeCell ref="B111:B112"/>
    <mergeCell ref="C111:C112"/>
    <mergeCell ref="D111:D112"/>
    <mergeCell ref="D83:D84"/>
    <mergeCell ref="B85:B86"/>
    <mergeCell ref="C85:C86"/>
    <mergeCell ref="D85:D86"/>
    <mergeCell ref="B79:B80"/>
    <mergeCell ref="B81:B82"/>
    <mergeCell ref="C81:C82"/>
    <mergeCell ref="D81:D82"/>
    <mergeCell ref="C97:C98"/>
    <mergeCell ref="B83:B84"/>
    <mergeCell ref="C83:C84"/>
    <mergeCell ref="B87:B88"/>
    <mergeCell ref="C87:C88"/>
    <mergeCell ref="D87:D88"/>
    <mergeCell ref="B91:B92"/>
    <mergeCell ref="C91:C92"/>
    <mergeCell ref="D91:D92"/>
    <mergeCell ref="B93:B94"/>
    <mergeCell ref="C93:C94"/>
    <mergeCell ref="D93:D94"/>
    <mergeCell ref="B89:B90"/>
    <mergeCell ref="C89:C90"/>
    <mergeCell ref="D89:D90"/>
    <mergeCell ref="D71:D72"/>
    <mergeCell ref="D73:D74"/>
    <mergeCell ref="C79:C80"/>
    <mergeCell ref="D79:D80"/>
    <mergeCell ref="B69:B70"/>
    <mergeCell ref="C69:C70"/>
    <mergeCell ref="B73:B74"/>
    <mergeCell ref="B71:B72"/>
    <mergeCell ref="C71:C72"/>
    <mergeCell ref="D69:D70"/>
    <mergeCell ref="C73:C74"/>
    <mergeCell ref="B75:B76"/>
    <mergeCell ref="C75:C76"/>
    <mergeCell ref="D75:D76"/>
    <mergeCell ref="B77:B78"/>
    <mergeCell ref="C77:C78"/>
    <mergeCell ref="D77:D78"/>
    <mergeCell ref="B65:B66"/>
    <mergeCell ref="C65:C66"/>
    <mergeCell ref="D65:D66"/>
    <mergeCell ref="B63:B64"/>
    <mergeCell ref="C63:C64"/>
    <mergeCell ref="D63:D64"/>
    <mergeCell ref="B67:B68"/>
    <mergeCell ref="C67:C68"/>
    <mergeCell ref="D67:D68"/>
    <mergeCell ref="B57:B58"/>
    <mergeCell ref="B59:B60"/>
    <mergeCell ref="C59:C60"/>
    <mergeCell ref="D59:D60"/>
    <mergeCell ref="C57:C58"/>
    <mergeCell ref="D57:D58"/>
    <mergeCell ref="B61:B62"/>
    <mergeCell ref="C61:C62"/>
    <mergeCell ref="D61:D62"/>
    <mergeCell ref="B53:B54"/>
    <mergeCell ref="C53:C54"/>
    <mergeCell ref="D53:D54"/>
    <mergeCell ref="B51:B52"/>
    <mergeCell ref="C51:C52"/>
    <mergeCell ref="D51:D52"/>
    <mergeCell ref="B55:B56"/>
    <mergeCell ref="C55:C56"/>
    <mergeCell ref="D55:D56"/>
    <mergeCell ref="B47:B48"/>
    <mergeCell ref="C47:C48"/>
    <mergeCell ref="D47:D48"/>
    <mergeCell ref="B37:B38"/>
    <mergeCell ref="C37:C38"/>
    <mergeCell ref="D37:D38"/>
    <mergeCell ref="C43:C44"/>
    <mergeCell ref="D43:D44"/>
    <mergeCell ref="B45:B46"/>
    <mergeCell ref="C45:C46"/>
    <mergeCell ref="D21:D22"/>
    <mergeCell ref="B23:B24"/>
    <mergeCell ref="C23:C24"/>
    <mergeCell ref="D23:D24"/>
    <mergeCell ref="C49:C50"/>
    <mergeCell ref="B43:B44"/>
    <mergeCell ref="B39:B40"/>
    <mergeCell ref="B31:B32"/>
    <mergeCell ref="C31:C32"/>
    <mergeCell ref="D31:D32"/>
    <mergeCell ref="B33:B34"/>
    <mergeCell ref="C33:C34"/>
    <mergeCell ref="D33:D34"/>
    <mergeCell ref="B35:B36"/>
    <mergeCell ref="C35:C36"/>
    <mergeCell ref="D35:D36"/>
    <mergeCell ref="D49:D50"/>
    <mergeCell ref="C39:C40"/>
    <mergeCell ref="D39:D40"/>
    <mergeCell ref="B41:B42"/>
    <mergeCell ref="C41:C42"/>
    <mergeCell ref="D41:D42"/>
    <mergeCell ref="B49:B50"/>
    <mergeCell ref="D45:D46"/>
    <mergeCell ref="G1:I1"/>
    <mergeCell ref="B17:B18"/>
    <mergeCell ref="C17:C18"/>
    <mergeCell ref="D17:D18"/>
    <mergeCell ref="B8:C8"/>
    <mergeCell ref="B1:F1"/>
    <mergeCell ref="D3:E3"/>
    <mergeCell ref="F3:G3"/>
    <mergeCell ref="H3:I3"/>
    <mergeCell ref="G11:I11"/>
    <mergeCell ref="C11:C12"/>
    <mergeCell ref="D11:D12"/>
    <mergeCell ref="H4:I4"/>
    <mergeCell ref="G12:I12"/>
    <mergeCell ref="G5:I5"/>
    <mergeCell ref="D6:I6"/>
    <mergeCell ref="D5:E5"/>
    <mergeCell ref="D4:E4"/>
    <mergeCell ref="B4:C4"/>
    <mergeCell ref="B11:B12"/>
    <mergeCell ref="F17:F18"/>
    <mergeCell ref="B7:D7"/>
    <mergeCell ref="E7:I7"/>
    <mergeCell ref="F33:F34"/>
    <mergeCell ref="B25:B26"/>
    <mergeCell ref="C25:C26"/>
    <mergeCell ref="D25:D26"/>
    <mergeCell ref="B27:B28"/>
    <mergeCell ref="C27:C28"/>
    <mergeCell ref="D27:D28"/>
    <mergeCell ref="B29:B30"/>
    <mergeCell ref="C29:C30"/>
    <mergeCell ref="D29:D30"/>
    <mergeCell ref="F19:F20"/>
    <mergeCell ref="F21:F22"/>
    <mergeCell ref="F23:F24"/>
    <mergeCell ref="F25:F26"/>
    <mergeCell ref="F27:F28"/>
    <mergeCell ref="F29:F30"/>
    <mergeCell ref="F31:F32"/>
    <mergeCell ref="B3:C3"/>
    <mergeCell ref="F15:F16"/>
    <mergeCell ref="F11:F12"/>
    <mergeCell ref="F13:F14"/>
    <mergeCell ref="B15:B16"/>
    <mergeCell ref="F4:G4"/>
    <mergeCell ref="B5:B6"/>
    <mergeCell ref="B13:B14"/>
    <mergeCell ref="B19:B20"/>
    <mergeCell ref="C19:C20"/>
    <mergeCell ref="D19:D20"/>
    <mergeCell ref="D15:D16"/>
    <mergeCell ref="C15:C16"/>
    <mergeCell ref="C13:C14"/>
    <mergeCell ref="D13:D14"/>
    <mergeCell ref="B21:B22"/>
    <mergeCell ref="C21:C22"/>
    <mergeCell ref="F79:F80"/>
    <mergeCell ref="F81:F82"/>
    <mergeCell ref="F83:F84"/>
    <mergeCell ref="F85:F86"/>
    <mergeCell ref="F87:F88"/>
    <mergeCell ref="F35:F36"/>
    <mergeCell ref="F37:F38"/>
    <mergeCell ref="F39:F40"/>
    <mergeCell ref="F41:F42"/>
    <mergeCell ref="F65:F66"/>
    <mergeCell ref="F67:F68"/>
    <mergeCell ref="F43:F44"/>
    <mergeCell ref="F45:F46"/>
    <mergeCell ref="F69:F70"/>
    <mergeCell ref="F47:F48"/>
    <mergeCell ref="F49:F50"/>
    <mergeCell ref="F51:F52"/>
    <mergeCell ref="K3:O7"/>
    <mergeCell ref="F99:F100"/>
    <mergeCell ref="F113:F114"/>
    <mergeCell ref="F101:F102"/>
    <mergeCell ref="F103:F104"/>
    <mergeCell ref="F105:F106"/>
    <mergeCell ref="F107:F108"/>
    <mergeCell ref="F109:F110"/>
    <mergeCell ref="F111:F112"/>
    <mergeCell ref="F97:F98"/>
    <mergeCell ref="F53:F54"/>
    <mergeCell ref="F55:F56"/>
    <mergeCell ref="F57:F58"/>
    <mergeCell ref="F59:F60"/>
    <mergeCell ref="F61:F62"/>
    <mergeCell ref="F71:F72"/>
    <mergeCell ref="F73:F74"/>
    <mergeCell ref="F75:F76"/>
    <mergeCell ref="F63:F64"/>
    <mergeCell ref="F95:F96"/>
    <mergeCell ref="F89:F90"/>
    <mergeCell ref="F91:F92"/>
    <mergeCell ref="F93:F94"/>
    <mergeCell ref="F77:F78"/>
  </mergeCells>
  <phoneticPr fontId="1"/>
  <conditionalFormatting sqref="C15:D16 F15:F114 D17:D114">
    <cfRule type="expression" dxfId="139" priority="181" stopIfTrue="1">
      <formula>NOT(ISERROR(SEARCH("女",$C15)))</formula>
    </cfRule>
    <cfRule type="expression" dxfId="138" priority="182" stopIfTrue="1">
      <formula>NOT(ISERROR(SEARCH("男",$C15)))</formula>
    </cfRule>
  </conditionalFormatting>
  <conditionalFormatting sqref="E15 E17 E19 E21 E23 E25 E27 E29 E31 E33 E35 E37 E39 E41 E43 E45 E47 E49 E51 E53 E55 E57 E59 E61 E63 E65 E67 E69 E71 E73 E75 E77 E79 E81 E83 E85 E87 E89 E91 E93 E95 E97 E99 E101 E103 E105 E107 E109 E111 E113 G15:H15">
    <cfRule type="expression" dxfId="137" priority="183" stopIfTrue="1">
      <formula>NOT(ISERROR(SEARCH("女",$C15)))</formula>
    </cfRule>
    <cfRule type="expression" dxfId="136" priority="184" stopIfTrue="1">
      <formula>NOT(ISERROR(SEARCH("男",$C15)))</formula>
    </cfRule>
  </conditionalFormatting>
  <conditionalFormatting sqref="E16 E18 E20 E22 E24 E26 E28 E30 E32 E34 E36 E38 E40 E42 E44 E46 E48 E50 E52 E54 E56 E58 E60 E62 E64 E66 E68 E70 E72 E74 E76 E78 E80 E82 E84 E86 E88 E90 E92 E94 E96 E98 E100 E102 E104 E106 E108 E110 E112 E114 G16:H16">
    <cfRule type="expression" dxfId="135" priority="186" stopIfTrue="1">
      <formula>NOT(ISERROR(SEARCH("女",$C15)))</formula>
    </cfRule>
    <cfRule type="expression" dxfId="134" priority="187" stopIfTrue="1">
      <formula>NOT(ISERROR(SEARCH("男",$C15)))</formula>
    </cfRule>
  </conditionalFormatting>
  <conditionalFormatting sqref="G12:I12">
    <cfRule type="containsText" dxfId="133" priority="176" operator="containsText" text="未">
      <formula>NOT(ISERROR(SEARCH("未",G12)))</formula>
    </cfRule>
    <cfRule type="containsText" dxfId="132" priority="177" operator="containsText" text="未">
      <formula>NOT(ISERROR(SEARCH("未",G12)))</formula>
    </cfRule>
    <cfRule type="containsText" dxfId="131" priority="178" operator="containsText" text="未">
      <formula>NOT(ISERROR(SEARCH("未",G12)))</formula>
    </cfRule>
  </conditionalFormatting>
  <conditionalFormatting sqref="G12:I12">
    <cfRule type="containsText" dxfId="130" priority="174" operator="containsText" text="未">
      <formula>NOT(ISERROR(SEARCH("未",G12)))</formula>
    </cfRule>
    <cfRule type="containsText" dxfId="129" priority="175" operator="containsText" text="未">
      <formula>NOT(ISERROR(SEARCH("未",G12)))</formula>
    </cfRule>
  </conditionalFormatting>
  <conditionalFormatting sqref="G12:I12">
    <cfRule type="containsText" dxfId="128" priority="172" operator="containsText" text="未入力">
      <formula>NOT(ISERROR(SEARCH("未入力",G12)))</formula>
    </cfRule>
    <cfRule type="containsText" dxfId="127" priority="173" operator="containsText" text="未入力">
      <formula>NOT(ISERROR(SEARCH("未入力",G12)))</formula>
    </cfRule>
  </conditionalFormatting>
  <conditionalFormatting sqref="M11:P11">
    <cfRule type="expression" dxfId="126" priority="198" stopIfTrue="1">
      <formula>$G$7="参加制限を超えている種目があります"</formula>
    </cfRule>
  </conditionalFormatting>
  <conditionalFormatting sqref="H4:I4">
    <cfRule type="expression" dxfId="125" priority="113" stopIfTrue="1">
      <formula>AND(D4&gt;0,D5&gt;0,H4="")</formula>
    </cfRule>
  </conditionalFormatting>
  <conditionalFormatting sqref="B15:B114">
    <cfRule type="expression" dxfId="124" priority="112" stopIfTrue="1">
      <formula>AE15=1</formula>
    </cfRule>
  </conditionalFormatting>
  <conditionalFormatting sqref="C17:C114">
    <cfRule type="expression" dxfId="123" priority="88" stopIfTrue="1">
      <formula>NOT(ISERROR(SEARCH("女",$C17)))</formula>
    </cfRule>
    <cfRule type="expression" dxfId="122" priority="89" stopIfTrue="1">
      <formula>NOT(ISERROR(SEARCH("男",$C17)))</formula>
    </cfRule>
  </conditionalFormatting>
  <conditionalFormatting sqref="B4:C4">
    <cfRule type="expression" dxfId="121" priority="45" stopIfTrue="1">
      <formula>AND($F$4&gt;1,$B$4="")</formula>
    </cfRule>
  </conditionalFormatting>
  <conditionalFormatting sqref="G17:H17 G19:H19 G21:H21 G23:H23 G25:H25 G27:H27 G29:H29 G31:H31 G33:H33 G35:H35 G37:H37 G39:H39 G41:H41 G43:H43 G45:H45 G47:H47 G49:H49 G51:H51 G53:H53 G55:H55 G57:H57 G59:H59 G61:H61 G63:H63 G65:H65 G67:H67 G69:H69 G71:H71 G73:H73 G75:H75 G77:H77 G79:H79 G81:H81 G83:H83 G85:H85 G87:H87 G89:H89 G91:H91 G93:H93 G95:H95 G97:H97 G99:H99 G101:H101 G103:H103 G105:H105 G107:H107 G109:H109 G111:H111 G113:H113">
    <cfRule type="expression" dxfId="120" priority="30" stopIfTrue="1">
      <formula>NOT(ISERROR(SEARCH("女",$C17)))</formula>
    </cfRule>
    <cfRule type="expression" dxfId="119" priority="31" stopIfTrue="1">
      <formula>NOT(ISERROR(SEARCH("男",$C17)))</formula>
    </cfRule>
  </conditionalFormatting>
  <conditionalFormatting sqref="G18:H18 G20:H20 G22:H22 G24:H24 G26:H26 G28:H28 G30:H30 G32:H32 G34:H34 G36:H36 G38:H38 G40:H40 G42:H42 G44:H44 G46:H46 G48:H48 G50:H50 G52:H52 G54:H54 G56:H56 G58:H58 G60:H60 G62:H62 G64:H64 G66:H66 G68:H68 G70:H70 G72:H72 G74:H74 G76:H76 G78:H78 G80:H80 G82:H82 G84:H84 G86:H86 G88:H88 G90:H90 G92:H92 G94:H94 G96:H96 G98:H98 G100:H100 G102:H102 G104:H104 G106:H106 G108:H108 G110:H110 G112:H112 G114:H114">
    <cfRule type="expression" dxfId="118" priority="33" stopIfTrue="1">
      <formula>NOT(ISERROR(SEARCH("女",$C17)))</formula>
    </cfRule>
    <cfRule type="expression" dxfId="117" priority="34" stopIfTrue="1">
      <formula>NOT(ISERROR(SEARCH("男",$C17)))</formula>
    </cfRule>
  </conditionalFormatting>
  <conditionalFormatting sqref="D15:D16">
    <cfRule type="expression" dxfId="116" priority="29" stopIfTrue="1">
      <formula>$B$4="一般"</formula>
    </cfRule>
  </conditionalFormatting>
  <conditionalFormatting sqref="D17:D114">
    <cfRule type="expression" dxfId="115" priority="28" stopIfTrue="1">
      <formula>$B$4="一般"</formula>
    </cfRule>
  </conditionalFormatting>
  <conditionalFormatting sqref="L37">
    <cfRule type="cellIs" dxfId="114" priority="272" stopIfTrue="1" operator="greaterThan">
      <formula>AK35</formula>
    </cfRule>
  </conditionalFormatting>
  <conditionalFormatting sqref="L19">
    <cfRule type="cellIs" dxfId="113" priority="273" stopIfTrue="1" operator="greaterThan">
      <formula>#REF!</formula>
    </cfRule>
  </conditionalFormatting>
  <conditionalFormatting sqref="L26 L24">
    <cfRule type="cellIs" dxfId="112" priority="293" stopIfTrue="1" operator="greaterThan">
      <formula>AK29</formula>
    </cfRule>
  </conditionalFormatting>
  <conditionalFormatting sqref="L20">
    <cfRule type="cellIs" dxfId="111" priority="295" stopIfTrue="1" operator="greaterThan">
      <formula>AK19</formula>
    </cfRule>
  </conditionalFormatting>
  <conditionalFormatting sqref="L27">
    <cfRule type="cellIs" dxfId="110" priority="296" stopIfTrue="1" operator="greaterThan">
      <formula>AK24</formula>
    </cfRule>
  </conditionalFormatting>
  <conditionalFormatting sqref="M13:M18">
    <cfRule type="cellIs" dxfId="109" priority="12" stopIfTrue="1" operator="greaterThan">
      <formula>AL13</formula>
    </cfRule>
  </conditionalFormatting>
  <conditionalFormatting sqref="M21">
    <cfRule type="cellIs" dxfId="108" priority="11" stopIfTrue="1" operator="greaterThan">
      <formula>AL21</formula>
    </cfRule>
  </conditionalFormatting>
  <conditionalFormatting sqref="M23">
    <cfRule type="cellIs" dxfId="107" priority="10" stopIfTrue="1" operator="greaterThan">
      <formula>AL23</formula>
    </cfRule>
  </conditionalFormatting>
  <conditionalFormatting sqref="M25">
    <cfRule type="cellIs" dxfId="106" priority="9" stopIfTrue="1" operator="greaterThan">
      <formula>AL25</formula>
    </cfRule>
  </conditionalFormatting>
  <conditionalFormatting sqref="M27:M32">
    <cfRule type="cellIs" dxfId="105" priority="8" stopIfTrue="1" operator="greaterThan">
      <formula>AL27</formula>
    </cfRule>
  </conditionalFormatting>
  <conditionalFormatting sqref="M34">
    <cfRule type="cellIs" dxfId="104" priority="7" stopIfTrue="1" operator="greaterThan">
      <formula>AL34</formula>
    </cfRule>
  </conditionalFormatting>
  <conditionalFormatting sqref="M36">
    <cfRule type="cellIs" dxfId="103" priority="6" stopIfTrue="1" operator="greaterThan">
      <formula>AL36</formula>
    </cfRule>
  </conditionalFormatting>
  <conditionalFormatting sqref="M38">
    <cfRule type="cellIs" dxfId="102" priority="5" stopIfTrue="1" operator="greaterThan">
      <formula>AL38</formula>
    </cfRule>
  </conditionalFormatting>
  <conditionalFormatting sqref="L13:L17">
    <cfRule type="cellIs" dxfId="101" priority="4" stopIfTrue="1" operator="greaterThan">
      <formula>AK13</formula>
    </cfRule>
  </conditionalFormatting>
  <conditionalFormatting sqref="J17 J19 J21 J23 J25 J27 J29 J31 J33 J35 J37 J39 J41 J43 J45 J47 J49 J51 J53 J55 J57 J59 J61 J63 J65 J67 J69 J71 J73 J75 J77 J79 J81 J83 J85 J87 J89 J91 J93 J95 J97 J99 J101 J103 J105 J107 J109 J111 J113 J15">
    <cfRule type="cellIs" dxfId="100" priority="2" operator="equal">
      <formula>""</formula>
    </cfRule>
    <cfRule type="cellIs" dxfId="99" priority="3" stopIfTrue="1" operator="notEqual">
      <formula>1</formula>
    </cfRule>
  </conditionalFormatting>
  <conditionalFormatting sqref="J4">
    <cfRule type="expression" dxfId="98" priority="1">
      <formula>J4="所属団体略称NG"</formula>
    </cfRule>
  </conditionalFormatting>
  <dataValidations count="13">
    <dataValidation type="list" allowBlank="1" showInputMessage="1" showErrorMessage="1" sqref="I91 I105 I95 I97 I109 I99 I101 I107 I111 I103 I73 I33 I65 I55 I57 I69 I59 I61 I67 I71 I63 I25 G13 I113 I17 I29 I19 I21 I27 I31 I23 I53 I45 I35 I37 I49 I39 I41 I47 I51 I43 I93 I85 I75 I77 I89 I79 I81 I87 I15 I83">
      <formula1>INDIRECT($C13)</formula1>
    </dataValidation>
    <dataValidation type="whole" imeMode="halfAlpha" allowBlank="1" showInputMessage="1" showErrorMessage="1" sqref="D15:D114">
      <formula1>1</formula1>
      <formula2>9999</formula2>
    </dataValidation>
    <dataValidation imeMode="halfKatakana" allowBlank="1" showInputMessage="1" showErrorMessage="1" sqref="E76 E114 E94 E110 E108 E106 E104 E102 E100 E98 E96 E32 E72 E54 E70 E68 E66 E64 E62 E60 E58 E78 E16 E30 E28 E26 E24 E22 E20 E18 E112 E56 E52 E34 E50 E48 E46 E44 E42 E40 E38 E36 E92 E74 E90 E88 E86 E84 E82 E80 H4:I4"/>
    <dataValidation type="whole" allowBlank="1" showInputMessage="1" showErrorMessage="1" sqref="G14">
      <formula1>100</formula1>
      <formula2>999999</formula2>
    </dataValidation>
    <dataValidation type="list" allowBlank="1" showInputMessage="1" showErrorMessage="1" sqref="C13:C14">
      <formula1>性</formula1>
    </dataValidation>
    <dataValidation type="whole" allowBlank="1" showInputMessage="1" showErrorMessage="1" sqref="D13:D14">
      <formula1>1</formula1>
      <formula2>9999</formula2>
    </dataValidation>
    <dataValidation type="whole" allowBlank="1" showInputMessage="1" showErrorMessage="1" sqref="F13">
      <formula1>1</formula1>
      <formula2>99</formula2>
    </dataValidation>
    <dataValidation type="whole" imeMode="disabled" allowBlank="1" showInputMessage="1" showErrorMessage="1" sqref="G16:H16 G18:H18 G20:H20 G22:H22 G24:H24 G26:H26 G28:H28 G30:H30 G32:H32 G34:H34 G36:H36 G38:H38 G40:H40 G42:H42 G44:H44 G46:H46 G48:H48 G50:H50 G52:H52 G54:H54 G56:H56 G58:H58 G60:H60 G62:H62 G64:H64 G66:H66 G68:H68 G70:H70 G72:H72 G74:H74 G76:H76 G78:H78 G80:H80 G82:H82 G84:H84 G86:H86 G88:H88 G90:H90 G92:H92 G94:H94 G96:H96 G98:H98 G100:H100 G102:H102 G104:H104 G106:H106 G108:H108 G110:H110 G112:H112 G114:H114">
      <formula1>100</formula1>
      <formula2>999999</formula2>
    </dataValidation>
    <dataValidation type="list" allowBlank="1" showInputMessage="1" showErrorMessage="1" sqref="F17:F114">
      <formula1>$U$12:$U$17</formula1>
    </dataValidation>
    <dataValidation type="list" imeMode="disabled" allowBlank="1" showInputMessage="1" showErrorMessage="1" sqref="F15:F16">
      <formula1>$U$12:$U$20</formula1>
    </dataValidation>
    <dataValidation type="list" allowBlank="1" showInputMessage="1" showErrorMessage="1" sqref="B4:C4">
      <formula1>$V$12:$V$14</formula1>
    </dataValidation>
    <dataValidation type="list" imeMode="disabled" allowBlank="1" showInputMessage="1" showErrorMessage="1" sqref="G15:H15 G113:H113 G111:H111 G109:H109 G107:H107 G105:H105 G103:H103 G101:H101 G99:H99 G97:H97 G95:H95 G93:H93 G91:H91 G89:H89 G87:H87 G85:H85 G83:H83 G81:H81 G79:H79 G77:H77 G75:H75 G73:H73 G71:H71 G69:H69 G67:H67 G65:H65 G63:H63 G61:H61 G59:H59 G57:H57 G55:H55 G53:H53 G51:H51 G49:H49 G47:H47 G45:H45 G43:H43 G41:H41 G39:H39 G37:H37 G35:H35 G33:H33 G31:H31 G29:H29 G27:H27 G25:H25 G23:H23 G21:H21 G19:H19 G17:H17">
      <formula1>IF($AF15="男子",$Q$13:$Q$31,IF($AF15="女子",$R$13:$R$30,IF($AF15="中学男子",$S$13:$S$21,IF($AF15="中学女子",$T$13:$T$24,""))))</formula1>
    </dataValidation>
    <dataValidation type="list" allowBlank="1" showInputMessage="1" showErrorMessage="1" sqref="C15:C114">
      <formula1>IF(OR($B$4="一般",$B$4="高校"),$Q$12:$R$12,IF($B$4="中学",$S$12:$T$12,""))</formula1>
    </dataValidation>
  </dataValidations>
  <pageMargins left="0.27559055118110237" right="0.31496062992125984" top="0.35433070866141736" bottom="0.47" header="0.31496062992125984" footer="0.09"/>
  <pageSetup paperSize="9" scale="98"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70C0"/>
    <pageSetUpPr fitToPage="1"/>
  </sheetPr>
  <dimension ref="A1:AN151"/>
  <sheetViews>
    <sheetView showGridLines="0" zoomScale="80" zoomScaleNormal="80" zoomScaleSheetLayoutView="80" workbookViewId="0">
      <selection activeCell="D10" sqref="D10"/>
    </sheetView>
  </sheetViews>
  <sheetFormatPr defaultColWidth="8.875" defaultRowHeight="15.75" x14ac:dyDescent="0.15"/>
  <cols>
    <col min="1" max="1" width="2.125" style="1" customWidth="1"/>
    <col min="2" max="2" width="12.125" style="1" customWidth="1"/>
    <col min="3" max="3" width="16.625" style="1" customWidth="1"/>
    <col min="4" max="4" width="7" style="4" customWidth="1"/>
    <col min="5" max="5" width="16.875" style="1" customWidth="1"/>
    <col min="6" max="6" width="7" style="4" customWidth="1"/>
    <col min="7" max="7" width="16.875" style="1" customWidth="1"/>
    <col min="8" max="8" width="7" style="4" customWidth="1"/>
    <col min="9" max="9" width="16.875" style="1" customWidth="1"/>
    <col min="10" max="10" width="1.375" style="1" customWidth="1"/>
    <col min="11" max="11" width="1.5" style="1" customWidth="1"/>
    <col min="12" max="14" width="17.75" style="1" customWidth="1"/>
    <col min="15" max="15" width="3.125" style="1" hidden="1" customWidth="1"/>
    <col min="16" max="16" width="11.25" style="1" hidden="1" customWidth="1"/>
    <col min="17" max="17" width="11.5" style="1" hidden="1" customWidth="1"/>
    <col min="18" max="20" width="10.25" style="1" hidden="1" customWidth="1"/>
    <col min="21" max="21" width="3.25" style="1" hidden="1" customWidth="1"/>
    <col min="22" max="22" width="3.125" style="1" hidden="1" customWidth="1"/>
    <col min="23" max="34" width="8.875" style="1" hidden="1" customWidth="1"/>
    <col min="35" max="35" width="8.625" style="22" hidden="1" customWidth="1"/>
    <col min="36" max="36" width="3.625" style="22" hidden="1" customWidth="1"/>
    <col min="37" max="37" width="7.25" style="22" hidden="1" customWidth="1"/>
    <col min="38" max="38" width="12.625" style="22" hidden="1" customWidth="1"/>
    <col min="39" max="39" width="5.125" style="22" hidden="1" customWidth="1"/>
    <col min="40" max="40" width="12.875" style="22" hidden="1" customWidth="1"/>
    <col min="41" max="42" width="0" style="1" hidden="1" customWidth="1"/>
    <col min="43" max="16384" width="8.875" style="1"/>
  </cols>
  <sheetData>
    <row r="1" spans="1:40" ht="25.5" customHeight="1" thickBot="1" x14ac:dyDescent="0.2">
      <c r="B1" s="199" t="str">
        <f>個人種目申込一覧表!B1</f>
        <v>第47回中信地区陸上競技選手権大会</v>
      </c>
      <c r="C1" s="199"/>
      <c r="D1" s="199"/>
      <c r="E1" s="199"/>
      <c r="F1" s="199"/>
      <c r="G1" s="4"/>
      <c r="H1" s="143" t="s">
        <v>147</v>
      </c>
      <c r="I1" s="61"/>
    </row>
    <row r="2" spans="1:40" ht="8.25" customHeight="1" thickTop="1" thickBot="1" x14ac:dyDescent="0.2">
      <c r="B2" s="4"/>
      <c r="C2" s="4"/>
      <c r="G2" s="4"/>
      <c r="I2" s="4"/>
    </row>
    <row r="3" spans="1:40" ht="25.5" customHeight="1" x14ac:dyDescent="0.15">
      <c r="C3" s="8" t="s">
        <v>28</v>
      </c>
      <c r="L3" s="237" t="s">
        <v>162</v>
      </c>
      <c r="M3" s="238"/>
      <c r="N3" s="239"/>
      <c r="P3" s="60"/>
      <c r="Q3" s="60"/>
      <c r="R3" s="60"/>
      <c r="S3" s="60"/>
      <c r="T3" s="60"/>
      <c r="U3" s="60"/>
      <c r="V3" s="60"/>
    </row>
    <row r="4" spans="1:40" ht="6" customHeight="1" thickBot="1" x14ac:dyDescent="0.2">
      <c r="L4" s="240"/>
      <c r="M4" s="241"/>
      <c r="N4" s="242"/>
      <c r="P4" s="60"/>
      <c r="Q4" s="60"/>
      <c r="R4" s="60"/>
      <c r="S4" s="60"/>
      <c r="T4" s="60"/>
      <c r="U4" s="60"/>
      <c r="V4" s="60"/>
    </row>
    <row r="5" spans="1:40" ht="27" customHeight="1" x14ac:dyDescent="0.15">
      <c r="C5" s="12" t="s">
        <v>19</v>
      </c>
      <c r="D5" s="61"/>
      <c r="E5" s="12" t="s">
        <v>22</v>
      </c>
      <c r="G5" s="12" t="s">
        <v>23</v>
      </c>
      <c r="I5" s="12" t="s">
        <v>20</v>
      </c>
      <c r="L5" s="240"/>
      <c r="M5" s="241"/>
      <c r="N5" s="242"/>
      <c r="P5" s="60"/>
      <c r="Q5" s="60"/>
      <c r="R5" s="60"/>
      <c r="S5" s="60"/>
      <c r="T5" s="60"/>
      <c r="U5" s="60"/>
      <c r="V5" s="60"/>
    </row>
    <row r="6" spans="1:40" ht="27" customHeight="1" thickBot="1" x14ac:dyDescent="0.2">
      <c r="C6" s="62">
        <f>COUNTA(E10,E15,E20,E25,E31,E36,E41,E46,E51,E56,E61,E66)</f>
        <v>0</v>
      </c>
      <c r="D6" s="61"/>
      <c r="E6" s="63">
        <f>SUM(O10+O15+O20+O25+O31+O36+O41+O46+O51)</f>
        <v>0</v>
      </c>
      <c r="G6" s="64" t="str">
        <f>IF(個人種目申込一覧表!B4="","",VLOOKUP(個人種目申込一覧表!B4,S10:T12,2,FALSE))</f>
        <v/>
      </c>
      <c r="I6" s="65" t="str">
        <f>IF(G6="","",C6*G6)</f>
        <v/>
      </c>
      <c r="L6" s="240"/>
      <c r="M6" s="241"/>
      <c r="N6" s="242"/>
      <c r="P6" s="60"/>
      <c r="Q6" s="60"/>
      <c r="R6" s="60"/>
      <c r="S6" s="60"/>
      <c r="T6" s="60"/>
      <c r="U6" s="60"/>
      <c r="V6" s="60"/>
    </row>
    <row r="7" spans="1:40" ht="6" customHeight="1" thickBot="1" x14ac:dyDescent="0.2">
      <c r="L7" s="240"/>
      <c r="M7" s="241"/>
      <c r="N7" s="242"/>
      <c r="P7" s="66"/>
      <c r="Q7" s="66"/>
      <c r="R7" s="66"/>
      <c r="S7" s="66"/>
      <c r="T7" s="66"/>
      <c r="U7" s="66"/>
      <c r="V7" s="66"/>
    </row>
    <row r="8" spans="1:40" ht="36" customHeight="1" thickBot="1" x14ac:dyDescent="0.2">
      <c r="D8" s="126" t="s">
        <v>160</v>
      </c>
      <c r="E8" s="67" t="s">
        <v>18</v>
      </c>
      <c r="F8" s="127" t="s">
        <v>161</v>
      </c>
      <c r="G8" s="67" t="s">
        <v>18</v>
      </c>
      <c r="H8" s="127" t="s">
        <v>161</v>
      </c>
      <c r="I8" s="68" t="s">
        <v>18</v>
      </c>
      <c r="L8" s="243"/>
      <c r="M8" s="244"/>
      <c r="N8" s="245"/>
      <c r="P8" s="66"/>
      <c r="Q8" s="66"/>
      <c r="R8" s="66"/>
      <c r="S8" s="66"/>
      <c r="T8" s="66"/>
      <c r="U8" s="66"/>
      <c r="V8" s="66"/>
      <c r="AI8" s="22" t="s">
        <v>172</v>
      </c>
    </row>
    <row r="9" spans="1:40" ht="6" customHeight="1" thickBot="1" x14ac:dyDescent="0.2">
      <c r="A9" s="3"/>
      <c r="B9" s="69"/>
      <c r="C9" s="69"/>
      <c r="D9" s="70"/>
      <c r="E9" s="3"/>
      <c r="F9" s="70"/>
      <c r="G9" s="3"/>
      <c r="H9" s="70"/>
      <c r="I9" s="3"/>
      <c r="J9" s="3"/>
    </row>
    <row r="10" spans="1:40" ht="27" customHeight="1" x14ac:dyDescent="0.15">
      <c r="B10" s="71" t="s">
        <v>25</v>
      </c>
      <c r="C10" s="72" t="s">
        <v>26</v>
      </c>
      <c r="D10" s="73"/>
      <c r="E10" s="74"/>
      <c r="F10" s="75"/>
      <c r="G10" s="74"/>
      <c r="H10" s="75"/>
      <c r="I10" s="76"/>
      <c r="L10" s="144" t="str">
        <f>IF(E10="","",IF(LEN(E10)-LEN(SUBSTITUTE(SUBSTITUTE(E10," ",),"　",))=1,"","氏名ｽﾍﾟｰｽ数"&amp;LEN(E10)-LEN(SUBSTITUTE(SUBSTITUTE(E10," ",),"　",))))</f>
        <v/>
      </c>
      <c r="M10" s="158" t="str">
        <f>IF(G10="","",IF(LEN(G10)-LEN(SUBSTITUTE(SUBSTITUTE(G10," ",),"　",))=1,"","氏名ｽﾍﾟｰｽ数"&amp;LEN(G10)-LEN(SUBSTITUTE(SUBSTITUTE(G10," ",),"　",))))</f>
        <v/>
      </c>
      <c r="N10" s="144" t="str">
        <f>IF(I10="","",IF(LEN(I10)-LEN(SUBSTITUTE(SUBSTITUTE(I10," ",),"　",))=1,"","氏名ｽﾍﾟｰｽ数"&amp;LEN(I10)-LEN(SUBSTITUTE(SUBSTITUTE(I10," ",),"　",))))</f>
        <v/>
      </c>
      <c r="O10" s="1">
        <f>COUNTA(E10,G10,I10,E12,G12,I12)</f>
        <v>0</v>
      </c>
      <c r="P10" s="4"/>
      <c r="R10" s="4"/>
      <c r="S10" s="4" t="s">
        <v>63</v>
      </c>
      <c r="T10" s="4">
        <v>1500</v>
      </c>
      <c r="U10" s="4"/>
      <c r="AI10" s="156" t="str">
        <f>IF(E10="","",B11&amp;D10)</f>
        <v/>
      </c>
      <c r="AJ10" s="156">
        <f>E10</f>
        <v>0</v>
      </c>
      <c r="AK10" s="156">
        <f>IF(ISERROR(VLOOKUP(AI10,個人種目申込一覧表!$AR$15:$AS$114,2,FALSE)),リレー申込票!AJ10,VLOOKUP(AI10,個人種目申込一覧表!$AR$15:$AS$114,2,FALSE))</f>
        <v>0</v>
      </c>
      <c r="AL10" s="156" t="str">
        <f>IF(AI10=0,"",IF(AJ10=AK10,"",AI10&amp;"重複"))</f>
        <v/>
      </c>
      <c r="AM10" s="156"/>
      <c r="AN10" s="156" t="str">
        <f>IF(AND(AL10="",AM10=""),"",AI10&amp;"ビブス重複")</f>
        <v/>
      </c>
    </row>
    <row r="11" spans="1:40" ht="27" customHeight="1" thickBot="1" x14ac:dyDescent="0.2">
      <c r="B11" s="128" t="s">
        <v>105</v>
      </c>
      <c r="C11" s="129" t="s">
        <v>121</v>
      </c>
      <c r="D11" s="77"/>
      <c r="E11" s="78"/>
      <c r="F11" s="79"/>
      <c r="G11" s="78"/>
      <c r="H11" s="79"/>
      <c r="I11" s="80"/>
      <c r="K11" s="81"/>
      <c r="L11" s="157" t="str">
        <f>AN10</f>
        <v/>
      </c>
      <c r="M11" s="157" t="str">
        <f>AN11</f>
        <v/>
      </c>
      <c r="N11" s="157" t="str">
        <f>AN12</f>
        <v/>
      </c>
      <c r="P11" s="4"/>
      <c r="R11" s="4"/>
      <c r="S11" s="4" t="s">
        <v>57</v>
      </c>
      <c r="T11" s="4">
        <v>1500</v>
      </c>
      <c r="U11" s="4"/>
      <c r="AI11" s="156" t="str">
        <f>IF(G10="","",B11&amp;F10)</f>
        <v/>
      </c>
      <c r="AJ11" s="156">
        <f>G10</f>
        <v>0</v>
      </c>
      <c r="AK11" s="156">
        <f>IF(ISERROR(VLOOKUP(AI11,個人種目申込一覧表!$AR$15:$AS$114,2,FALSE)),リレー申込票!AJ11,VLOOKUP(AI11,個人種目申込一覧表!$AR$15:$AS$114,2,FALSE))</f>
        <v>0</v>
      </c>
      <c r="AL11" s="156" t="str">
        <f t="shared" ref="AL11:AL45" si="0">IF(AI11=0,"",IF(AJ11=AK11,"",AI11&amp;"重複"))</f>
        <v/>
      </c>
      <c r="AM11" s="156" t="str">
        <f>IF(ISERROR(VLOOKUP(AI11,$AI$10:AI10,1,FALSE)),"",VLOOKUP(AI11,$AI$10:AI10,1,FALSE))</f>
        <v/>
      </c>
      <c r="AN11" s="156" t="str">
        <f t="shared" ref="AN11:AN45" si="1">IF(AND(AL11="",AM11=""),"",AI11&amp;"ビブス重複")</f>
        <v/>
      </c>
    </row>
    <row r="12" spans="1:40" ht="27" customHeight="1" x14ac:dyDescent="0.15">
      <c r="B12" s="82" t="s">
        <v>27</v>
      </c>
      <c r="C12" s="83" t="s">
        <v>24</v>
      </c>
      <c r="D12" s="84"/>
      <c r="E12" s="85"/>
      <c r="F12" s="86"/>
      <c r="G12" s="85"/>
      <c r="H12" s="86"/>
      <c r="I12" s="87"/>
      <c r="L12" s="144" t="s">
        <v>174</v>
      </c>
      <c r="M12" s="158" t="s">
        <v>174</v>
      </c>
      <c r="N12" s="144" t="s">
        <v>174</v>
      </c>
      <c r="P12" s="4"/>
      <c r="R12" s="4"/>
      <c r="S12" s="4" t="s">
        <v>58</v>
      </c>
      <c r="T12" s="4">
        <v>1500</v>
      </c>
      <c r="U12" s="4"/>
      <c r="AI12" s="156" t="str">
        <f>IF(I10="","",B11&amp;H10)</f>
        <v/>
      </c>
      <c r="AJ12" s="156">
        <f>I10</f>
        <v>0</v>
      </c>
      <c r="AK12" s="156">
        <f>IF(ISERROR(VLOOKUP(AI12,個人種目申込一覧表!$AR$15:$AS$114,2,FALSE)),リレー申込票!AJ12,VLOOKUP(AI12,個人種目申込一覧表!$AR$15:$AS$114,2,FALSE))</f>
        <v>0</v>
      </c>
      <c r="AL12" s="156" t="str">
        <f t="shared" si="0"/>
        <v/>
      </c>
      <c r="AM12" s="156" t="str">
        <f>IF(ISERROR(VLOOKUP(AI12,$AI$10:AI11,1,FALSE)),"",VLOOKUP(AI12,$AI$10:AI11,1,FALSE))</f>
        <v/>
      </c>
      <c r="AN12" s="156" t="str">
        <f t="shared" si="1"/>
        <v/>
      </c>
    </row>
    <row r="13" spans="1:40" ht="27" customHeight="1" thickBot="1" x14ac:dyDescent="0.2">
      <c r="B13" s="104"/>
      <c r="C13" s="88"/>
      <c r="D13" s="89"/>
      <c r="E13" s="90"/>
      <c r="F13" s="91"/>
      <c r="G13" s="90"/>
      <c r="H13" s="91"/>
      <c r="I13" s="92"/>
      <c r="K13" s="81"/>
      <c r="L13" s="157" t="str">
        <f>AN13</f>
        <v/>
      </c>
      <c r="M13" s="157" t="str">
        <f>AN14</f>
        <v/>
      </c>
      <c r="N13" s="157" t="str">
        <f>AN15</f>
        <v/>
      </c>
      <c r="P13" s="4"/>
      <c r="R13" s="93"/>
      <c r="S13" s="4"/>
      <c r="T13" s="4"/>
      <c r="U13" s="4"/>
      <c r="V13" s="4"/>
      <c r="AI13" s="156" t="str">
        <f>IF(E12="","",B11&amp;D12)</f>
        <v/>
      </c>
      <c r="AJ13" s="156">
        <f>E12</f>
        <v>0</v>
      </c>
      <c r="AK13" s="156">
        <f>IF(ISERROR(VLOOKUP(AI13,個人種目申込一覧表!$AR$15:$AS$114,2,FALSE)),リレー申込票!AJ13,VLOOKUP(AI13,個人種目申込一覧表!$AR$15:$AS$114,2,FALSE))</f>
        <v>0</v>
      </c>
      <c r="AL13" s="156" t="str">
        <f t="shared" si="0"/>
        <v/>
      </c>
      <c r="AM13" s="156" t="str">
        <f>IF(ISERROR(VLOOKUP(AI13,$AI$10:AI12,1,FALSE)),"",VLOOKUP(AI13,$AI$10:AI12,1,FALSE))</f>
        <v/>
      </c>
      <c r="AN13" s="156" t="str">
        <f t="shared" si="1"/>
        <v/>
      </c>
    </row>
    <row r="14" spans="1:40" ht="6" customHeight="1" thickBot="1" x14ac:dyDescent="0.2">
      <c r="B14" s="44"/>
      <c r="C14" s="44"/>
      <c r="D14" s="94"/>
      <c r="E14" s="44"/>
      <c r="L14" s="158"/>
      <c r="M14" s="158"/>
      <c r="N14" s="158"/>
      <c r="AI14" s="156" t="str">
        <f>IF(G12="","",B11&amp;F12)</f>
        <v/>
      </c>
      <c r="AJ14" s="156">
        <f>G12</f>
        <v>0</v>
      </c>
      <c r="AK14" s="156">
        <f>IF(ISERROR(VLOOKUP(AI14,個人種目申込一覧表!$AR$15:$AS$114,2,FALSE)),リレー申込票!AJ14,VLOOKUP(AI14,個人種目申込一覧表!$AR$15:$AS$114,2,FALSE))</f>
        <v>0</v>
      </c>
      <c r="AL14" s="156" t="str">
        <f t="shared" si="0"/>
        <v/>
      </c>
      <c r="AM14" s="156" t="str">
        <f>IF(ISERROR(VLOOKUP(AI14,$AI$10:AI13,1,FALSE)),"",VLOOKUP(AI14,$AI$10:AI13,1,FALSE))</f>
        <v/>
      </c>
      <c r="AN14" s="156" t="str">
        <f t="shared" si="1"/>
        <v/>
      </c>
    </row>
    <row r="15" spans="1:40" ht="27" customHeight="1" x14ac:dyDescent="0.15">
      <c r="B15" s="71" t="s">
        <v>25</v>
      </c>
      <c r="C15" s="72" t="s">
        <v>26</v>
      </c>
      <c r="D15" s="73"/>
      <c r="E15" s="74"/>
      <c r="F15" s="75"/>
      <c r="G15" s="74"/>
      <c r="H15" s="75"/>
      <c r="I15" s="76"/>
      <c r="L15" s="144" t="str">
        <f>IF(E15="","",IF(LEN(E15)-LEN(SUBSTITUTE(SUBSTITUTE(E15," ",),"　",))=1,"","氏名ｽﾍﾟｰｽ数"&amp;LEN(E15)-LEN(SUBSTITUTE(SUBSTITUTE(E15," ",),"　",))))</f>
        <v/>
      </c>
      <c r="M15" s="158" t="str">
        <f>IF(G15="","",IF(LEN(G15)-LEN(SUBSTITUTE(SUBSTITUTE(G15," ",),"　",))=1,"","氏名ｽﾍﾟｰｽ数"&amp;LEN(G15)-LEN(SUBSTITUTE(SUBSTITUTE(G15," ",),"　",))))</f>
        <v/>
      </c>
      <c r="N15" s="144" t="str">
        <f>IF(I15="","",IF(LEN(I15)-LEN(SUBSTITUTE(SUBSTITUTE(I15," ",),"　",))=1,"","氏名ｽﾍﾟｰｽ数"&amp;LEN(I15)-LEN(SUBSTITUTE(SUBSTITUTE(I15," ",),"　",))))</f>
        <v/>
      </c>
      <c r="O15" s="1">
        <f>COUNTA(E15,G15,I15,E17,G17,I17)</f>
        <v>0</v>
      </c>
      <c r="Q15" s="4" t="s">
        <v>105</v>
      </c>
      <c r="R15" s="4" t="s">
        <v>106</v>
      </c>
      <c r="S15" s="4"/>
      <c r="T15" s="4"/>
      <c r="AI15" s="156" t="str">
        <f>IF(I12="","",B11&amp;H12)</f>
        <v/>
      </c>
      <c r="AJ15" s="156">
        <f>I12</f>
        <v>0</v>
      </c>
      <c r="AK15" s="156">
        <f>IF(ISERROR(VLOOKUP(AI15,個人種目申込一覧表!$AR$15:$AS$114,2,FALSE)),リレー申込票!AJ15,VLOOKUP(AI15,個人種目申込一覧表!$AR$15:$AS$114,2,FALSE))</f>
        <v>0</v>
      </c>
      <c r="AL15" s="156" t="str">
        <f t="shared" si="0"/>
        <v/>
      </c>
      <c r="AM15" s="156" t="str">
        <f>IF(ISERROR(VLOOKUP(AI15,$AI$10:AI14,1,FALSE)),"",VLOOKUP(AI15,$AI$10:AI14,1,FALSE))</f>
        <v/>
      </c>
      <c r="AN15" s="156" t="str">
        <f t="shared" si="1"/>
        <v/>
      </c>
    </row>
    <row r="16" spans="1:40" ht="27" customHeight="1" thickBot="1" x14ac:dyDescent="0.2">
      <c r="B16" s="128" t="s">
        <v>105</v>
      </c>
      <c r="C16" s="129" t="s">
        <v>122</v>
      </c>
      <c r="D16" s="77"/>
      <c r="E16" s="78"/>
      <c r="F16" s="79"/>
      <c r="G16" s="78"/>
      <c r="H16" s="79"/>
      <c r="I16" s="80"/>
      <c r="K16" s="81"/>
      <c r="L16" s="157" t="str">
        <f>AN16</f>
        <v/>
      </c>
      <c r="M16" s="157" t="str">
        <f>AN17</f>
        <v/>
      </c>
      <c r="N16" s="157" t="str">
        <f>AN18</f>
        <v/>
      </c>
      <c r="Q16" s="1" t="s">
        <v>64</v>
      </c>
      <c r="R16" s="1" t="s">
        <v>65</v>
      </c>
      <c r="AI16" s="156" t="str">
        <f>IF(E15="","",B16&amp;D15)</f>
        <v/>
      </c>
      <c r="AJ16" s="156">
        <f>E15</f>
        <v>0</v>
      </c>
      <c r="AK16" s="156">
        <f>IF(ISERROR(VLOOKUP(AI16,個人種目申込一覧表!$AR$15:$AS$114,2,FALSE)),リレー申込票!AJ16,VLOOKUP(AI16,個人種目申込一覧表!$AR$15:$AS$114,2,FALSE))</f>
        <v>0</v>
      </c>
      <c r="AL16" s="156" t="str">
        <f t="shared" si="0"/>
        <v/>
      </c>
      <c r="AM16" s="156" t="str">
        <f>IF(ISERROR(VLOOKUP(AI16,$AI$10:AI15,1,FALSE)),"",VLOOKUP(AI16,$AI$10:AI15,1,FALSE))</f>
        <v/>
      </c>
      <c r="AN16" s="156" t="str">
        <f t="shared" si="1"/>
        <v/>
      </c>
    </row>
    <row r="17" spans="2:40" ht="27" customHeight="1" x14ac:dyDescent="0.15">
      <c r="B17" s="82" t="s">
        <v>27</v>
      </c>
      <c r="C17" s="83" t="s">
        <v>24</v>
      </c>
      <c r="D17" s="84"/>
      <c r="E17" s="85"/>
      <c r="F17" s="86"/>
      <c r="G17" s="85"/>
      <c r="H17" s="86"/>
      <c r="I17" s="87"/>
      <c r="L17" s="144" t="str">
        <f>IF(E17="","",IF(LEN(E17)-LEN(SUBSTITUTE(SUBSTITUTE(E17," ",),"　",))=1,"","氏名ｽﾍﾟｰｽ数"&amp;LEN(E17)-LEN(SUBSTITUTE(SUBSTITUTE(E17," ",),"　",))))</f>
        <v/>
      </c>
      <c r="M17" s="158" t="str">
        <f>IF(G17="","",IF(LEN(G17)-LEN(SUBSTITUTE(SUBSTITUTE(G17," ",),"　",))=1,"","氏名ｽﾍﾟｰｽ数"&amp;LEN(G17)-LEN(SUBSTITUTE(SUBSTITUTE(G17," ",),"　",))))</f>
        <v/>
      </c>
      <c r="N17" s="144" t="str">
        <f>IF(I17="","",IF(LEN(I17)-LEN(SUBSTITUTE(SUBSTITUTE(I17," ",),"　",))=1,"","氏名ｽﾍﾟｰｽ数"&amp;LEN(I17)-LEN(SUBSTITUTE(SUBSTITUTE(I17," ",),"　",))))</f>
        <v/>
      </c>
      <c r="AI17" s="156" t="str">
        <f>IF(G15="","",B16&amp;F15)</f>
        <v/>
      </c>
      <c r="AJ17" s="156">
        <f>G15</f>
        <v>0</v>
      </c>
      <c r="AK17" s="156">
        <f>IF(ISERROR(VLOOKUP(AI17,個人種目申込一覧表!$AR$15:$AS$114,2,FALSE)),リレー申込票!AJ17,VLOOKUP(AI17,個人種目申込一覧表!$AR$15:$AS$114,2,FALSE))</f>
        <v>0</v>
      </c>
      <c r="AL17" s="156" t="str">
        <f t="shared" si="0"/>
        <v/>
      </c>
      <c r="AM17" s="156" t="str">
        <f>IF(ISERROR(VLOOKUP(AI17,$AI$10:AI16,1,FALSE)),"",VLOOKUP(AI17,$AI$10:AI16,1,FALSE))</f>
        <v/>
      </c>
      <c r="AN17" s="156" t="str">
        <f t="shared" si="1"/>
        <v/>
      </c>
    </row>
    <row r="18" spans="2:40" ht="27" customHeight="1" thickBot="1" x14ac:dyDescent="0.2">
      <c r="B18" s="104"/>
      <c r="C18" s="88"/>
      <c r="D18" s="89"/>
      <c r="E18" s="90"/>
      <c r="F18" s="91"/>
      <c r="G18" s="90"/>
      <c r="H18" s="91"/>
      <c r="I18" s="92"/>
      <c r="K18" s="81"/>
      <c r="L18" s="157" t="str">
        <f>AN18</f>
        <v/>
      </c>
      <c r="M18" s="157" t="str">
        <f>AN19</f>
        <v/>
      </c>
      <c r="N18" s="157" t="str">
        <f>AN20</f>
        <v/>
      </c>
      <c r="AI18" s="156" t="str">
        <f>IF(I15="","",B16&amp;H15)</f>
        <v/>
      </c>
      <c r="AJ18" s="156">
        <f>I15</f>
        <v>0</v>
      </c>
      <c r="AK18" s="156">
        <f>IF(ISERROR(VLOOKUP(AI18,個人種目申込一覧表!$AR$15:$AS$114,2,FALSE)),リレー申込票!AJ18,VLOOKUP(AI18,個人種目申込一覧表!$AR$15:$AS$114,2,FALSE))</f>
        <v>0</v>
      </c>
      <c r="AL18" s="156" t="str">
        <f t="shared" si="0"/>
        <v/>
      </c>
      <c r="AM18" s="156" t="str">
        <f>IF(ISERROR(VLOOKUP(AI18,$AI$10:AI17,1,FALSE)),"",VLOOKUP(AI18,$AI$10:AI17,1,FALSE))</f>
        <v/>
      </c>
      <c r="AN18" s="156" t="str">
        <f t="shared" si="1"/>
        <v/>
      </c>
    </row>
    <row r="19" spans="2:40" ht="6" customHeight="1" thickBot="1" x14ac:dyDescent="0.2">
      <c r="B19" s="44"/>
      <c r="C19" s="44"/>
      <c r="D19" s="94"/>
      <c r="E19" s="44"/>
      <c r="L19" s="158"/>
      <c r="M19" s="158"/>
      <c r="N19" s="158"/>
      <c r="AI19" s="156" t="str">
        <f>IF(E17="","",B16&amp;D17)</f>
        <v/>
      </c>
      <c r="AJ19" s="156">
        <f>E17</f>
        <v>0</v>
      </c>
      <c r="AK19" s="156">
        <f>IF(ISERROR(VLOOKUP(AI19,個人種目申込一覧表!$AR$15:$AS$114,2,FALSE)),リレー申込票!AJ19,VLOOKUP(AI19,個人種目申込一覧表!$AR$15:$AS$114,2,FALSE))</f>
        <v>0</v>
      </c>
      <c r="AL19" s="156" t="str">
        <f t="shared" si="0"/>
        <v/>
      </c>
      <c r="AM19" s="156" t="str">
        <f>IF(ISERROR(VLOOKUP(AI19,$AI$10:AI18,1,FALSE)),"",VLOOKUP(AI19,$AI$10:AI18,1,FALSE))</f>
        <v/>
      </c>
      <c r="AN19" s="156" t="str">
        <f t="shared" si="1"/>
        <v/>
      </c>
    </row>
    <row r="20" spans="2:40" ht="27" customHeight="1" x14ac:dyDescent="0.15">
      <c r="B20" s="71" t="s">
        <v>25</v>
      </c>
      <c r="C20" s="72" t="s">
        <v>26</v>
      </c>
      <c r="D20" s="73"/>
      <c r="E20" s="74"/>
      <c r="F20" s="75"/>
      <c r="G20" s="74"/>
      <c r="H20" s="75"/>
      <c r="I20" s="76"/>
      <c r="L20" s="144" t="str">
        <f>IF(E20="","",IF(LEN(E20)-LEN(SUBSTITUTE(SUBSTITUTE(E20," ",),"　",))=1,"","氏名ｽﾍﾟｰｽ数"&amp;LEN(E20)-LEN(SUBSTITUTE(SUBSTITUTE(E20," ",),"　",))))</f>
        <v/>
      </c>
      <c r="M20" s="158" t="str">
        <f>IF(G20="","",IF(LEN(G20)-LEN(SUBSTITUTE(SUBSTITUTE(G20," ",),"　",))=1,"","氏名ｽﾍﾟｰｽ数"&amp;LEN(G20)-LEN(SUBSTITUTE(SUBSTITUTE(G20," ",),"　",))))</f>
        <v/>
      </c>
      <c r="N20" s="144" t="str">
        <f>IF(I20="","",IF(LEN(I20)-LEN(SUBSTITUTE(SUBSTITUTE(I20," ",),"　",))=1,"","氏名ｽﾍﾟｰｽ数"&amp;LEN(I20)-LEN(SUBSTITUTE(SUBSTITUTE(I20," ",),"　",))))</f>
        <v/>
      </c>
      <c r="O20" s="1">
        <f>COUNTA(E20,G20,I20,E22,G22,I22)</f>
        <v>0</v>
      </c>
      <c r="Q20" s="1">
        <v>1</v>
      </c>
      <c r="R20" s="1">
        <v>2</v>
      </c>
      <c r="S20" s="1">
        <v>3</v>
      </c>
      <c r="T20" s="1">
        <v>4</v>
      </c>
      <c r="U20" s="1" t="s">
        <v>66</v>
      </c>
      <c r="V20" s="1" t="s">
        <v>67</v>
      </c>
      <c r="AI20" s="156" t="str">
        <f>IF(G17="","",B16&amp;F17)</f>
        <v/>
      </c>
      <c r="AJ20" s="156">
        <f>G17</f>
        <v>0</v>
      </c>
      <c r="AK20" s="156">
        <f>IF(ISERROR(VLOOKUP(AI20,個人種目申込一覧表!$AR$15:$AS$114,2,FALSE)),リレー申込票!AJ20,VLOOKUP(AI20,個人種目申込一覧表!$AR$15:$AS$114,2,FALSE))</f>
        <v>0</v>
      </c>
      <c r="AL20" s="156" t="str">
        <f t="shared" si="0"/>
        <v/>
      </c>
      <c r="AM20" s="156" t="str">
        <f>IF(ISERROR(VLOOKUP(AI20,$AI$10:AI19,1,FALSE)),"",VLOOKUP(AI20,$AI$10:AI19,1,FALSE))</f>
        <v/>
      </c>
      <c r="AN20" s="156" t="str">
        <f t="shared" si="1"/>
        <v/>
      </c>
    </row>
    <row r="21" spans="2:40" ht="27" customHeight="1" thickBot="1" x14ac:dyDescent="0.2">
      <c r="B21" s="128" t="s">
        <v>106</v>
      </c>
      <c r="C21" s="129" t="s">
        <v>121</v>
      </c>
      <c r="D21" s="77"/>
      <c r="E21" s="78"/>
      <c r="F21" s="79"/>
      <c r="G21" s="78"/>
      <c r="H21" s="79"/>
      <c r="I21" s="80"/>
      <c r="K21" s="81"/>
      <c r="L21" s="157" t="str">
        <f>AN22</f>
        <v/>
      </c>
      <c r="M21" s="157" t="str">
        <f>AN23</f>
        <v/>
      </c>
      <c r="N21" s="157" t="str">
        <f>AN24</f>
        <v/>
      </c>
      <c r="AI21" s="156" t="str">
        <f>IF(I17="","",B16&amp;H17)</f>
        <v/>
      </c>
      <c r="AJ21" s="156">
        <f>I17</f>
        <v>0</v>
      </c>
      <c r="AK21" s="156">
        <f>IF(ISERROR(VLOOKUP(AI21,個人種目申込一覧表!$AR$15:$AS$114,2,FALSE)),リレー申込票!AJ21,VLOOKUP(AI21,個人種目申込一覧表!$AR$15:$AS$114,2,FALSE))</f>
        <v>0</v>
      </c>
      <c r="AL21" s="156" t="str">
        <f t="shared" si="0"/>
        <v/>
      </c>
      <c r="AM21" s="156" t="str">
        <f>IF(ISERROR(VLOOKUP(AI21,$AI$10:AI20,1,FALSE)),"",VLOOKUP(AI21,$AI$10:AI20,1,FALSE))</f>
        <v/>
      </c>
      <c r="AN21" s="156" t="str">
        <f t="shared" si="1"/>
        <v/>
      </c>
    </row>
    <row r="22" spans="2:40" ht="27" customHeight="1" x14ac:dyDescent="0.15">
      <c r="B22" s="82" t="s">
        <v>27</v>
      </c>
      <c r="C22" s="83" t="s">
        <v>24</v>
      </c>
      <c r="D22" s="84"/>
      <c r="E22" s="85"/>
      <c r="F22" s="86"/>
      <c r="G22" s="85"/>
      <c r="H22" s="86"/>
      <c r="I22" s="87"/>
      <c r="L22" s="144" t="str">
        <f>IF(E22="","",IF(LEN(E22)-LEN(SUBSTITUTE(SUBSTITUTE(E22," ",),"　",))=1,"","氏名ｽﾍﾟｰｽ数"&amp;LEN(E22)-LEN(SUBSTITUTE(SUBSTITUTE(E22," ",),"　",))))</f>
        <v/>
      </c>
      <c r="M22" s="158" t="str">
        <f>IF(G22="","",IF(LEN(G22)-LEN(SUBSTITUTE(SUBSTITUTE(G22," ",),"　",))=1,"","氏名ｽﾍﾟｰｽ数"&amp;LEN(G22)-LEN(SUBSTITUTE(SUBSTITUTE(G22," ",),"　",))))</f>
        <v/>
      </c>
      <c r="N22" s="144" t="str">
        <f>IF(I22="","",IF(LEN(I22)-LEN(SUBSTITUTE(SUBSTITUTE(I22," ",),"　",))=1,"","氏名ｽﾍﾟｰｽ数"&amp;LEN(I22)-LEN(SUBSTITUTE(SUBSTITUTE(I22," ",),"　",))))</f>
        <v/>
      </c>
      <c r="AI22" s="156" t="str">
        <f>IF(E20="","",B21&amp;D20)</f>
        <v/>
      </c>
      <c r="AJ22" s="156">
        <f>E20</f>
        <v>0</v>
      </c>
      <c r="AK22" s="156">
        <f>IF(ISERROR(VLOOKUP(AI22,個人種目申込一覧表!$AR$15:$AS$114,2,FALSE)),リレー申込票!AJ22,VLOOKUP(AI22,個人種目申込一覧表!$AR$15:$AS$114,2,FALSE))</f>
        <v>0</v>
      </c>
      <c r="AL22" s="156" t="str">
        <f t="shared" si="0"/>
        <v/>
      </c>
      <c r="AM22" s="156" t="str">
        <f>IF(ISERROR(VLOOKUP(AI22,$AI$10:AI21,1,FALSE)),"",VLOOKUP(AI22,$AI$10:AI21,1,FALSE))</f>
        <v/>
      </c>
      <c r="AN22" s="156" t="str">
        <f t="shared" si="1"/>
        <v/>
      </c>
    </row>
    <row r="23" spans="2:40" ht="27.75" customHeight="1" thickBot="1" x14ac:dyDescent="0.2">
      <c r="B23" s="104"/>
      <c r="C23" s="88"/>
      <c r="D23" s="89"/>
      <c r="E23" s="90"/>
      <c r="F23" s="91"/>
      <c r="G23" s="90"/>
      <c r="H23" s="91"/>
      <c r="I23" s="92"/>
      <c r="K23" s="81"/>
      <c r="L23" s="157" t="str">
        <f>AN25</f>
        <v/>
      </c>
      <c r="M23" s="157" t="str">
        <f>AN26</f>
        <v/>
      </c>
      <c r="N23" s="157" t="str">
        <f>AN27</f>
        <v/>
      </c>
      <c r="AI23" s="156" t="str">
        <f>IF(G20="","",B21&amp;F20)</f>
        <v/>
      </c>
      <c r="AJ23" s="156">
        <f>G20</f>
        <v>0</v>
      </c>
      <c r="AK23" s="156">
        <f>IF(ISERROR(VLOOKUP(AI23,個人種目申込一覧表!$AR$15:$AS$114,2,FALSE)),リレー申込票!AJ23,VLOOKUP(AI23,個人種目申込一覧表!$AR$15:$AS$114,2,FALSE))</f>
        <v>0</v>
      </c>
      <c r="AL23" s="156" t="str">
        <f t="shared" si="0"/>
        <v/>
      </c>
      <c r="AM23" s="156" t="str">
        <f>IF(ISERROR(VLOOKUP(AI23,$AI$10:AI22,1,FALSE)),"",VLOOKUP(AI23,$AI$10:AI22,1,FALSE))</f>
        <v/>
      </c>
      <c r="AN23" s="156" t="str">
        <f t="shared" si="1"/>
        <v/>
      </c>
    </row>
    <row r="24" spans="2:40" ht="6" customHeight="1" thickBot="1" x14ac:dyDescent="0.2">
      <c r="B24" s="44"/>
      <c r="C24" s="44"/>
      <c r="D24" s="94"/>
      <c r="E24" s="44"/>
      <c r="F24" s="125"/>
      <c r="H24" s="125"/>
      <c r="L24" s="158"/>
      <c r="M24" s="158"/>
      <c r="N24" s="158"/>
      <c r="AI24" s="156" t="str">
        <f>IF(I20="","",B21&amp;H20)</f>
        <v/>
      </c>
      <c r="AJ24" s="156">
        <f>I20</f>
        <v>0</v>
      </c>
      <c r="AK24" s="156">
        <f>IF(ISERROR(VLOOKUP(AI24,個人種目申込一覧表!$AR$15:$AS$114,2,FALSE)),リレー申込票!AJ24,VLOOKUP(AI24,個人種目申込一覧表!$AR$15:$AS$114,2,FALSE))</f>
        <v>0</v>
      </c>
      <c r="AL24" s="156" t="str">
        <f t="shared" si="0"/>
        <v/>
      </c>
      <c r="AM24" s="156" t="str">
        <f>IF(ISERROR(VLOOKUP(AI24,$AI$10:AI23,1,FALSE)),"",VLOOKUP(AI24,$AI$10:AI23,1,FALSE))</f>
        <v/>
      </c>
      <c r="AN24" s="156" t="str">
        <f t="shared" si="1"/>
        <v/>
      </c>
    </row>
    <row r="25" spans="2:40" ht="27" customHeight="1" x14ac:dyDescent="0.15">
      <c r="B25" s="71" t="s">
        <v>25</v>
      </c>
      <c r="C25" s="72" t="s">
        <v>26</v>
      </c>
      <c r="D25" s="73"/>
      <c r="E25" s="74"/>
      <c r="F25" s="75"/>
      <c r="G25" s="74"/>
      <c r="H25" s="75"/>
      <c r="I25" s="76"/>
      <c r="L25" s="144" t="str">
        <f>IF(E25="","",IF(LEN(E25)-LEN(SUBSTITUTE(SUBSTITUTE(E25," ",),"　",))=1,"","氏名ｽﾍﾟｰｽ数"&amp;LEN(E25)-LEN(SUBSTITUTE(SUBSTITUTE(E25," ",),"　",))))</f>
        <v/>
      </c>
      <c r="M25" s="158" t="str">
        <f>IF(G25="","",IF(LEN(G25)-LEN(SUBSTITUTE(SUBSTITUTE(G25," ",),"　",))=1,"","氏名ｽﾍﾟｰｽ数"&amp;LEN(G25)-LEN(SUBSTITUTE(SUBSTITUTE(G25," ",),"　",))))</f>
        <v/>
      </c>
      <c r="N25" s="144" t="str">
        <f>IF(I25="","",IF(LEN(I25)-LEN(SUBSTITUTE(SUBSTITUTE(I25," ",),"　",))=1,"","氏名ｽﾍﾟｰｽ数"&amp;LEN(I25)-LEN(SUBSTITUTE(SUBSTITUTE(I25," ",),"　",))))</f>
        <v/>
      </c>
      <c r="O25" s="1">
        <f>COUNTA(E25,G25,I25,E27,G27,I27)</f>
        <v>0</v>
      </c>
      <c r="AI25" s="156" t="str">
        <f>IF(E22="","",B21&amp;D22)</f>
        <v/>
      </c>
      <c r="AJ25" s="156">
        <f>E22</f>
        <v>0</v>
      </c>
      <c r="AK25" s="156">
        <f>IF(ISERROR(VLOOKUP(AI25,個人種目申込一覧表!$AR$15:$AS$114,2,FALSE)),リレー申込票!AJ25,VLOOKUP(AI25,個人種目申込一覧表!$AR$15:$AS$114,2,FALSE))</f>
        <v>0</v>
      </c>
      <c r="AL25" s="156" t="str">
        <f t="shared" si="0"/>
        <v/>
      </c>
      <c r="AM25" s="156" t="str">
        <f>IF(ISERROR(VLOOKUP(AI25,$AI$10:AI24,1,FALSE)),"",VLOOKUP(AI25,$AI$10:AI24,1,FALSE))</f>
        <v/>
      </c>
      <c r="AN25" s="156" t="str">
        <f t="shared" si="1"/>
        <v/>
      </c>
    </row>
    <row r="26" spans="2:40" ht="27" customHeight="1" thickBot="1" x14ac:dyDescent="0.2">
      <c r="B26" s="128" t="s">
        <v>106</v>
      </c>
      <c r="C26" s="129" t="s">
        <v>65</v>
      </c>
      <c r="D26" s="77"/>
      <c r="E26" s="78"/>
      <c r="F26" s="79"/>
      <c r="G26" s="78"/>
      <c r="H26" s="79"/>
      <c r="I26" s="80"/>
      <c r="L26" s="157" t="str">
        <f>AN28</f>
        <v/>
      </c>
      <c r="M26" s="157" t="str">
        <f>AN29</f>
        <v/>
      </c>
      <c r="N26" s="157" t="str">
        <f>AN30</f>
        <v/>
      </c>
      <c r="AI26" s="156" t="str">
        <f>IF(G22="","",B21&amp;F22)</f>
        <v/>
      </c>
      <c r="AJ26" s="156">
        <f>G22</f>
        <v>0</v>
      </c>
      <c r="AK26" s="156">
        <f>IF(ISERROR(VLOOKUP(AI26,個人種目申込一覧表!$AR$15:$AS$114,2,FALSE)),リレー申込票!AJ26,VLOOKUP(AI26,個人種目申込一覧表!$AR$15:$AS$114,2,FALSE))</f>
        <v>0</v>
      </c>
      <c r="AL26" s="156" t="str">
        <f t="shared" si="0"/>
        <v/>
      </c>
      <c r="AM26" s="156" t="str">
        <f>IF(ISERROR(VLOOKUP(AI26,$AI$10:AI25,1,FALSE)),"",VLOOKUP(AI26,$AI$10:AI25,1,FALSE))</f>
        <v/>
      </c>
      <c r="AN26" s="156" t="str">
        <f t="shared" si="1"/>
        <v/>
      </c>
    </row>
    <row r="27" spans="2:40" ht="27" customHeight="1" x14ac:dyDescent="0.15">
      <c r="B27" s="82" t="s">
        <v>27</v>
      </c>
      <c r="C27" s="83" t="s">
        <v>24</v>
      </c>
      <c r="D27" s="84"/>
      <c r="E27" s="85"/>
      <c r="F27" s="86"/>
      <c r="G27" s="85"/>
      <c r="H27" s="86"/>
      <c r="I27" s="87"/>
      <c r="L27" s="144" t="str">
        <f>IF(E27="","",IF(LEN(E27)-LEN(SUBSTITUTE(SUBSTITUTE(E27," ",),"　",))=1,"","氏名ｽﾍﾟｰｽ数"&amp;LEN(E27)-LEN(SUBSTITUTE(SUBSTITUTE(E27," ",),"　",))))</f>
        <v/>
      </c>
      <c r="M27" s="158" t="str">
        <f>IF(G27="","",IF(LEN(G27)-LEN(SUBSTITUTE(SUBSTITUTE(G27," ",),"　",))=1,"","氏名ｽﾍﾟｰｽ数"&amp;LEN(G27)-LEN(SUBSTITUTE(SUBSTITUTE(G27," ",),"　",))))</f>
        <v/>
      </c>
      <c r="N27" s="144" t="str">
        <f>IF(I27="","",IF(LEN(I27)-LEN(SUBSTITUTE(SUBSTITUTE(I27," ",),"　",))=1,"","氏名ｽﾍﾟｰｽ数"&amp;LEN(I27)-LEN(SUBSTITUTE(SUBSTITUTE(I27," ",),"　",))))</f>
        <v/>
      </c>
      <c r="AI27" s="156" t="str">
        <f>IF(I22="","",B21&amp;H22)</f>
        <v/>
      </c>
      <c r="AJ27" s="156">
        <f>I22</f>
        <v>0</v>
      </c>
      <c r="AK27" s="156">
        <f>IF(ISERROR(VLOOKUP(AI27,個人種目申込一覧表!$AR$15:$AS$114,2,FALSE)),リレー申込票!AJ27,VLOOKUP(AI27,個人種目申込一覧表!$AR$15:$AS$114,2,FALSE))</f>
        <v>0</v>
      </c>
      <c r="AL27" s="156" t="str">
        <f t="shared" si="0"/>
        <v/>
      </c>
      <c r="AM27" s="156" t="str">
        <f>IF(ISERROR(VLOOKUP(AI27,$AI$10:AI26,1,FALSE)),"",VLOOKUP(AI27,$AI$10:AI26,1,FALSE))</f>
        <v/>
      </c>
      <c r="AN27" s="156" t="str">
        <f t="shared" si="1"/>
        <v/>
      </c>
    </row>
    <row r="28" spans="2:40" ht="27" customHeight="1" thickBot="1" x14ac:dyDescent="0.2">
      <c r="B28" s="104"/>
      <c r="C28" s="88"/>
      <c r="D28" s="89"/>
      <c r="E28" s="90"/>
      <c r="F28" s="91"/>
      <c r="G28" s="90"/>
      <c r="H28" s="91"/>
      <c r="I28" s="92"/>
      <c r="L28" s="157" t="str">
        <f>AN31</f>
        <v/>
      </c>
      <c r="M28" s="157" t="str">
        <f>AN32</f>
        <v/>
      </c>
      <c r="N28" s="157" t="str">
        <f>AN33</f>
        <v/>
      </c>
      <c r="AI28" s="156" t="str">
        <f>IF(E25="","",B26&amp;D25)</f>
        <v/>
      </c>
      <c r="AJ28" s="156">
        <f>E25</f>
        <v>0</v>
      </c>
      <c r="AK28" s="156">
        <f>IF(ISERROR(VLOOKUP(AI28,個人種目申込一覧表!$AR$15:$AS$114,2,FALSE)),リレー申込票!AJ28,VLOOKUP(AI28,個人種目申込一覧表!$AR$15:$AS$114,2,FALSE))</f>
        <v>0</v>
      </c>
      <c r="AL28" s="156" t="str">
        <f t="shared" si="0"/>
        <v/>
      </c>
      <c r="AM28" s="156" t="str">
        <f>IF(ISERROR(VLOOKUP(AI28,$AI$10:AI27,1,FALSE)),"",VLOOKUP(AI28,$AI$10:AI27,1,FALSE))</f>
        <v/>
      </c>
      <c r="AN28" s="156" t="str">
        <f t="shared" si="1"/>
        <v/>
      </c>
    </row>
    <row r="29" spans="2:40" x14ac:dyDescent="0.15">
      <c r="D29" s="95"/>
      <c r="F29" s="95"/>
      <c r="H29" s="95"/>
      <c r="AI29" s="156" t="str">
        <f>IF(G25="","",B26&amp;F25)</f>
        <v/>
      </c>
      <c r="AJ29" s="156">
        <f>G25</f>
        <v>0</v>
      </c>
      <c r="AK29" s="156">
        <f>IF(ISERROR(VLOOKUP(AI29,個人種目申込一覧表!$AR$15:$AS$114,2,FALSE)),リレー申込票!AJ29,VLOOKUP(AI29,個人種目申込一覧表!$AR$15:$AS$114,2,FALSE))</f>
        <v>0</v>
      </c>
      <c r="AL29" s="156" t="str">
        <f t="shared" si="0"/>
        <v/>
      </c>
      <c r="AM29" s="156" t="str">
        <f>IF(ISERROR(VLOOKUP(AI29,$AI$10:AI28,1,FALSE)),"",VLOOKUP(AI29,$AI$10:AI28,1,FALSE))</f>
        <v/>
      </c>
      <c r="AN29" s="156" t="str">
        <f t="shared" si="1"/>
        <v/>
      </c>
    </row>
    <row r="30" spans="2:40" x14ac:dyDescent="0.15">
      <c r="D30" s="95"/>
      <c r="F30" s="95"/>
      <c r="H30" s="95"/>
      <c r="AI30" s="156" t="str">
        <f>IF(I25="","",B26&amp;H25)</f>
        <v/>
      </c>
      <c r="AJ30" s="156">
        <f>I25</f>
        <v>0</v>
      </c>
      <c r="AK30" s="156">
        <f>IF(ISERROR(VLOOKUP(AI30,個人種目申込一覧表!$AR$15:$AS$114,2,FALSE)),リレー申込票!AJ30,VLOOKUP(AI30,個人種目申込一覧表!$AR$15:$AS$114,2,FALSE))</f>
        <v>0</v>
      </c>
      <c r="AL30" s="156" t="str">
        <f t="shared" si="0"/>
        <v/>
      </c>
      <c r="AM30" s="156" t="str">
        <f>IF(ISERROR(VLOOKUP(AI30,$AI$10:AI29,1,FALSE)),"",VLOOKUP(AI30,$AI$10:AI29,1,FALSE))</f>
        <v/>
      </c>
      <c r="AN30" s="156" t="str">
        <f t="shared" si="1"/>
        <v/>
      </c>
    </row>
    <row r="31" spans="2:40" x14ac:dyDescent="0.15">
      <c r="D31" s="95"/>
      <c r="F31" s="95"/>
      <c r="H31" s="95"/>
      <c r="AI31" s="156" t="str">
        <f>IF(E27="","",B26&amp;D27)</f>
        <v/>
      </c>
      <c r="AJ31" s="156">
        <f>E27</f>
        <v>0</v>
      </c>
      <c r="AK31" s="156">
        <f>IF(ISERROR(VLOOKUP(AI31,個人種目申込一覧表!$AR$15:$AS$114,2,FALSE)),リレー申込票!AJ31,VLOOKUP(AI31,個人種目申込一覧表!$AR$15:$AS$114,2,FALSE))</f>
        <v>0</v>
      </c>
      <c r="AL31" s="156" t="str">
        <f t="shared" si="0"/>
        <v/>
      </c>
      <c r="AM31" s="156" t="str">
        <f>IF(ISERROR(VLOOKUP(AI31,$AI$10:AI30,1,FALSE)),"",VLOOKUP(AI31,$AI$10:AI30,1,FALSE))</f>
        <v/>
      </c>
      <c r="AN31" s="156" t="str">
        <f t="shared" si="1"/>
        <v/>
      </c>
    </row>
    <row r="32" spans="2:40" x14ac:dyDescent="0.15">
      <c r="D32" s="95"/>
      <c r="F32" s="95"/>
      <c r="H32" s="95"/>
      <c r="AI32" s="156" t="str">
        <f>IF(G27="","",B26&amp;F27)</f>
        <v/>
      </c>
      <c r="AJ32" s="156">
        <f>G27</f>
        <v>0</v>
      </c>
      <c r="AK32" s="156">
        <f>IF(ISERROR(VLOOKUP(AI32,個人種目申込一覧表!$AR$15:$AS$114,2,FALSE)),リレー申込票!AJ32,VLOOKUP(AI32,個人種目申込一覧表!$AR$15:$AS$114,2,FALSE))</f>
        <v>0</v>
      </c>
      <c r="AL32" s="156" t="str">
        <f t="shared" si="0"/>
        <v/>
      </c>
      <c r="AM32" s="156" t="str">
        <f>IF(ISERROR(VLOOKUP(AI32,$AI$10:AI31,1,FALSE)),"",VLOOKUP(AI32,$AI$10:AI31,1,FALSE))</f>
        <v/>
      </c>
      <c r="AN32" s="156" t="str">
        <f t="shared" si="1"/>
        <v/>
      </c>
    </row>
    <row r="33" spans="4:40" x14ac:dyDescent="0.15">
      <c r="D33" s="95"/>
      <c r="F33" s="95"/>
      <c r="H33" s="95"/>
      <c r="AI33" s="156" t="str">
        <f>IF(I27="","",B26&amp;H27)</f>
        <v/>
      </c>
      <c r="AJ33" s="156">
        <f>I27</f>
        <v>0</v>
      </c>
      <c r="AK33" s="156">
        <f>IF(ISERROR(VLOOKUP(AI33,個人種目申込一覧表!$AR$15:$AS$114,2,FALSE)),リレー申込票!AJ33,VLOOKUP(AI33,個人種目申込一覧表!$AR$15:$AS$114,2,FALSE))</f>
        <v>0</v>
      </c>
      <c r="AL33" s="156" t="str">
        <f t="shared" si="0"/>
        <v/>
      </c>
      <c r="AM33" s="156" t="str">
        <f>IF(ISERROR(VLOOKUP(AI33,$AI$10:AI32,1,FALSE)),"",VLOOKUP(AI33,$AI$10:AI32,1,FALSE))</f>
        <v/>
      </c>
      <c r="AN33" s="156" t="str">
        <f t="shared" si="1"/>
        <v/>
      </c>
    </row>
    <row r="34" spans="4:40" x14ac:dyDescent="0.15">
      <c r="D34" s="95"/>
      <c r="F34" s="95"/>
      <c r="H34" s="95"/>
      <c r="AI34" s="156" t="str">
        <f>IF(E30="","",B31&amp;D30)</f>
        <v/>
      </c>
      <c r="AJ34" s="156">
        <f>E30</f>
        <v>0</v>
      </c>
      <c r="AK34" s="156">
        <f>IF(ISERROR(VLOOKUP(AI34,個人種目申込一覧表!$AR$15:$AS$114,2,FALSE)),リレー申込票!AJ34,VLOOKUP(AI34,個人種目申込一覧表!$AR$15:$AS$114,2,FALSE))</f>
        <v>0</v>
      </c>
      <c r="AL34" s="156" t="str">
        <f t="shared" si="0"/>
        <v/>
      </c>
      <c r="AM34" s="156" t="str">
        <f>IF(ISERROR(VLOOKUP(AI34,$AI$10:AI33,1,FALSE)),"",VLOOKUP(AI34,$AI$10:AI33,1,FALSE))</f>
        <v/>
      </c>
      <c r="AN34" s="156" t="str">
        <f t="shared" si="1"/>
        <v/>
      </c>
    </row>
    <row r="35" spans="4:40" x14ac:dyDescent="0.15">
      <c r="D35" s="95"/>
      <c r="F35" s="95"/>
      <c r="H35" s="95"/>
      <c r="AI35" s="156" t="str">
        <f>IF(G30="","",B31&amp;F30)</f>
        <v/>
      </c>
      <c r="AJ35" s="156">
        <f>G30</f>
        <v>0</v>
      </c>
      <c r="AK35" s="156">
        <f>IF(ISERROR(VLOOKUP(AI35,個人種目申込一覧表!$AR$15:$AS$114,2,FALSE)),リレー申込票!AJ35,VLOOKUP(AI35,個人種目申込一覧表!$AR$15:$AS$114,2,FALSE))</f>
        <v>0</v>
      </c>
      <c r="AL35" s="156" t="str">
        <f t="shared" si="0"/>
        <v/>
      </c>
      <c r="AM35" s="156" t="str">
        <f>IF(ISERROR(VLOOKUP(AI35,$AI$10:AI34,1,FALSE)),"",VLOOKUP(AI35,$AI$10:AI34,1,FALSE))</f>
        <v/>
      </c>
      <c r="AN35" s="156" t="str">
        <f t="shared" si="1"/>
        <v/>
      </c>
    </row>
    <row r="36" spans="4:40" x14ac:dyDescent="0.15">
      <c r="D36" s="95"/>
      <c r="F36" s="95"/>
      <c r="H36" s="95"/>
      <c r="AI36" s="156" t="str">
        <f>IF(I30="","",B31&amp;H30)</f>
        <v/>
      </c>
      <c r="AJ36" s="156">
        <f>I30</f>
        <v>0</v>
      </c>
      <c r="AK36" s="156">
        <f>IF(ISERROR(VLOOKUP(AI36,個人種目申込一覧表!$AR$15:$AS$114,2,FALSE)),リレー申込票!AJ36,VLOOKUP(AI36,個人種目申込一覧表!$AR$15:$AS$114,2,FALSE))</f>
        <v>0</v>
      </c>
      <c r="AL36" s="156" t="str">
        <f t="shared" si="0"/>
        <v/>
      </c>
      <c r="AM36" s="156" t="str">
        <f>IF(ISERROR(VLOOKUP(AI36,$AI$10:AI35,1,FALSE)),"",VLOOKUP(AI36,$AI$10:AI35,1,FALSE))</f>
        <v/>
      </c>
      <c r="AN36" s="156" t="str">
        <f t="shared" si="1"/>
        <v/>
      </c>
    </row>
    <row r="37" spans="4:40" x14ac:dyDescent="0.15">
      <c r="D37" s="95"/>
      <c r="F37" s="95"/>
      <c r="H37" s="95"/>
      <c r="AI37" s="156" t="str">
        <f>IF(E32="","",B31&amp;D32)</f>
        <v/>
      </c>
      <c r="AJ37" s="156">
        <f>E32</f>
        <v>0</v>
      </c>
      <c r="AK37" s="156">
        <f>IF(ISERROR(VLOOKUP(AI37,個人種目申込一覧表!$AR$15:$AS$114,2,FALSE)),リレー申込票!AJ37,VLOOKUP(AI37,個人種目申込一覧表!$AR$15:$AS$114,2,FALSE))</f>
        <v>0</v>
      </c>
      <c r="AL37" s="156" t="str">
        <f t="shared" si="0"/>
        <v/>
      </c>
      <c r="AM37" s="156" t="str">
        <f>IF(ISERROR(VLOOKUP(AI37,$AI$10:AI36,1,FALSE)),"",VLOOKUP(AI37,$AI$10:AI36,1,FALSE))</f>
        <v/>
      </c>
      <c r="AN37" s="156" t="str">
        <f t="shared" si="1"/>
        <v/>
      </c>
    </row>
    <row r="38" spans="4:40" x14ac:dyDescent="0.15">
      <c r="D38" s="95"/>
      <c r="F38" s="95"/>
      <c r="H38" s="95"/>
      <c r="AI38" s="156" t="str">
        <f>IF(G32="","",B31&amp;F32)</f>
        <v/>
      </c>
      <c r="AJ38" s="156">
        <f>G32</f>
        <v>0</v>
      </c>
      <c r="AK38" s="156">
        <f>IF(ISERROR(VLOOKUP(AI38,個人種目申込一覧表!$AR$15:$AS$114,2,FALSE)),リレー申込票!AJ38,VLOOKUP(AI38,個人種目申込一覧表!$AR$15:$AS$114,2,FALSE))</f>
        <v>0</v>
      </c>
      <c r="AL38" s="156" t="str">
        <f t="shared" si="0"/>
        <v/>
      </c>
      <c r="AM38" s="156" t="str">
        <f>IF(ISERROR(VLOOKUP(AI38,$AI$10:AI37,1,FALSE)),"",VLOOKUP(AI38,$AI$10:AI37,1,FALSE))</f>
        <v/>
      </c>
      <c r="AN38" s="156" t="str">
        <f t="shared" si="1"/>
        <v/>
      </c>
    </row>
    <row r="39" spans="4:40" x14ac:dyDescent="0.15">
      <c r="D39" s="95"/>
      <c r="F39" s="95"/>
      <c r="H39" s="95"/>
      <c r="AI39" s="156" t="str">
        <f>IF(I32="","",B31&amp;H32)</f>
        <v/>
      </c>
      <c r="AJ39" s="156">
        <f>I32</f>
        <v>0</v>
      </c>
      <c r="AK39" s="156">
        <f>IF(ISERROR(VLOOKUP(AI39,個人種目申込一覧表!$AR$15:$AS$114,2,FALSE)),リレー申込票!AJ39,VLOOKUP(AI39,個人種目申込一覧表!$AR$15:$AS$114,2,FALSE))</f>
        <v>0</v>
      </c>
      <c r="AL39" s="156" t="str">
        <f t="shared" si="0"/>
        <v/>
      </c>
      <c r="AM39" s="156" t="str">
        <f>IF(ISERROR(VLOOKUP(AI39,$AI$10:AI38,1,FALSE)),"",VLOOKUP(AI39,$AI$10:AI38,1,FALSE))</f>
        <v/>
      </c>
      <c r="AN39" s="156" t="str">
        <f t="shared" si="1"/>
        <v/>
      </c>
    </row>
    <row r="40" spans="4:40" x14ac:dyDescent="0.15">
      <c r="D40" s="95"/>
      <c r="F40" s="95"/>
      <c r="H40" s="95"/>
      <c r="AI40" s="156" t="str">
        <f>IF(E35="","",B36&amp;D35)</f>
        <v/>
      </c>
      <c r="AJ40" s="156">
        <f>E35</f>
        <v>0</v>
      </c>
      <c r="AK40" s="156">
        <f>IF(ISERROR(VLOOKUP(AI40,個人種目申込一覧表!$AR$15:$AS$114,2,FALSE)),リレー申込票!AJ40,VLOOKUP(AI40,個人種目申込一覧表!$AR$15:$AS$114,2,FALSE))</f>
        <v>0</v>
      </c>
      <c r="AL40" s="156" t="str">
        <f t="shared" si="0"/>
        <v/>
      </c>
      <c r="AM40" s="156" t="str">
        <f>IF(ISERROR(VLOOKUP(AI40,$AI$10:AI39,1,FALSE)),"",VLOOKUP(AI40,$AI$10:AI39,1,FALSE))</f>
        <v/>
      </c>
      <c r="AN40" s="156" t="str">
        <f t="shared" si="1"/>
        <v/>
      </c>
    </row>
    <row r="41" spans="4:40" x14ac:dyDescent="0.15">
      <c r="D41" s="95"/>
      <c r="F41" s="95"/>
      <c r="H41" s="95"/>
      <c r="AI41" s="156" t="str">
        <f>IF(G35="","",B36&amp;F35)</f>
        <v/>
      </c>
      <c r="AJ41" s="156">
        <f>G35</f>
        <v>0</v>
      </c>
      <c r="AK41" s="156">
        <f>IF(ISERROR(VLOOKUP(AI41,個人種目申込一覧表!$AR$15:$AS$114,2,FALSE)),リレー申込票!AJ41,VLOOKUP(AI41,個人種目申込一覧表!$AR$15:$AS$114,2,FALSE))</f>
        <v>0</v>
      </c>
      <c r="AL41" s="156" t="str">
        <f t="shared" si="0"/>
        <v/>
      </c>
      <c r="AM41" s="156" t="str">
        <f>IF(ISERROR(VLOOKUP(AI41,$AI$10:AI40,1,FALSE)),"",VLOOKUP(AI41,$AI$10:AI40,1,FALSE))</f>
        <v/>
      </c>
      <c r="AN41" s="156" t="str">
        <f t="shared" si="1"/>
        <v/>
      </c>
    </row>
    <row r="42" spans="4:40" x14ac:dyDescent="0.15">
      <c r="D42" s="95"/>
      <c r="F42" s="95"/>
      <c r="H42" s="95"/>
      <c r="AI42" s="156" t="str">
        <f>IF(I35="","",B36&amp;H35)</f>
        <v/>
      </c>
      <c r="AJ42" s="156">
        <f>I35</f>
        <v>0</v>
      </c>
      <c r="AK42" s="156">
        <f>IF(ISERROR(VLOOKUP(AI42,個人種目申込一覧表!$AR$15:$AS$114,2,FALSE)),リレー申込票!AJ42,VLOOKUP(AI42,個人種目申込一覧表!$AR$15:$AS$114,2,FALSE))</f>
        <v>0</v>
      </c>
      <c r="AL42" s="156" t="str">
        <f t="shared" si="0"/>
        <v/>
      </c>
      <c r="AM42" s="156" t="str">
        <f>IF(ISERROR(VLOOKUP(AI42,$AI$10:AI41,1,FALSE)),"",VLOOKUP(AI42,$AI$10:AI41,1,FALSE))</f>
        <v/>
      </c>
      <c r="AN42" s="156" t="str">
        <f t="shared" si="1"/>
        <v/>
      </c>
    </row>
    <row r="43" spans="4:40" x14ac:dyDescent="0.15">
      <c r="D43" s="95"/>
      <c r="F43" s="95"/>
      <c r="H43" s="95"/>
      <c r="AI43" s="156" t="str">
        <f>IF(E37="","",B36&amp;D37)</f>
        <v/>
      </c>
      <c r="AJ43" s="156">
        <f>E37</f>
        <v>0</v>
      </c>
      <c r="AK43" s="156">
        <f>IF(ISERROR(VLOOKUP(AI43,個人種目申込一覧表!$AR$15:$AS$114,2,FALSE)),リレー申込票!AJ43,VLOOKUP(AI43,個人種目申込一覧表!$AR$15:$AS$114,2,FALSE))</f>
        <v>0</v>
      </c>
      <c r="AL43" s="156" t="str">
        <f t="shared" si="0"/>
        <v/>
      </c>
      <c r="AM43" s="156" t="str">
        <f>IF(ISERROR(VLOOKUP(AI43,$AI$10:AI42,1,FALSE)),"",VLOOKUP(AI43,$AI$10:AI42,1,FALSE))</f>
        <v/>
      </c>
      <c r="AN43" s="156" t="str">
        <f t="shared" si="1"/>
        <v/>
      </c>
    </row>
    <row r="44" spans="4:40" x14ac:dyDescent="0.15">
      <c r="D44" s="95"/>
      <c r="F44" s="95"/>
      <c r="H44" s="95"/>
      <c r="AI44" s="156" t="str">
        <f>IF(G37="","",B36&amp;F37)</f>
        <v/>
      </c>
      <c r="AJ44" s="156">
        <f>G37</f>
        <v>0</v>
      </c>
      <c r="AK44" s="156">
        <f>IF(ISERROR(VLOOKUP(AI44,個人種目申込一覧表!$AR$15:$AS$114,2,FALSE)),リレー申込票!AJ44,VLOOKUP(AI44,個人種目申込一覧表!$AR$15:$AS$114,2,FALSE))</f>
        <v>0</v>
      </c>
      <c r="AL44" s="156" t="str">
        <f t="shared" si="0"/>
        <v/>
      </c>
      <c r="AM44" s="156" t="str">
        <f>IF(ISERROR(VLOOKUP(AI44,$AI$10:AI43,1,FALSE)),"",VLOOKUP(AI44,$AI$10:AI43,1,FALSE))</f>
        <v/>
      </c>
      <c r="AN44" s="156" t="str">
        <f t="shared" si="1"/>
        <v/>
      </c>
    </row>
    <row r="45" spans="4:40" x14ac:dyDescent="0.15">
      <c r="D45" s="95"/>
      <c r="F45" s="95"/>
      <c r="H45" s="95"/>
      <c r="AI45" s="156" t="str">
        <f>IF(G38="","",B37&amp;F38)</f>
        <v/>
      </c>
      <c r="AJ45" s="156">
        <f>I37</f>
        <v>0</v>
      </c>
      <c r="AK45" s="156">
        <f>IF(ISERROR(VLOOKUP(AI45,個人種目申込一覧表!$AR$15:$AS$114,2,FALSE)),リレー申込票!AJ45,VLOOKUP(AI45,個人種目申込一覧表!$AR$15:$AS$114,2,FALSE))</f>
        <v>0</v>
      </c>
      <c r="AL45" s="156" t="str">
        <f t="shared" si="0"/>
        <v/>
      </c>
      <c r="AM45" s="156" t="str">
        <f>IF(ISERROR(VLOOKUP(AI45,$AI$10:AI44,1,FALSE)),"",VLOOKUP(AI45,$AI$10:AI44,1,FALSE))</f>
        <v/>
      </c>
      <c r="AN45" s="156" t="str">
        <f t="shared" si="1"/>
        <v/>
      </c>
    </row>
    <row r="46" spans="4:40" x14ac:dyDescent="0.15">
      <c r="D46" s="95"/>
      <c r="F46" s="95"/>
      <c r="H46" s="95"/>
    </row>
    <row r="47" spans="4:40" x14ac:dyDescent="0.15">
      <c r="D47" s="95"/>
      <c r="F47" s="95"/>
      <c r="H47" s="95"/>
    </row>
    <row r="48" spans="4:40" x14ac:dyDescent="0.15">
      <c r="D48" s="95"/>
      <c r="F48" s="95"/>
      <c r="H48" s="95"/>
    </row>
    <row r="49" spans="4:8" x14ac:dyDescent="0.15">
      <c r="D49" s="95"/>
      <c r="F49" s="95"/>
      <c r="H49" s="95"/>
    </row>
    <row r="50" spans="4:8" x14ac:dyDescent="0.15">
      <c r="D50" s="95"/>
      <c r="F50" s="95"/>
      <c r="H50" s="95"/>
    </row>
    <row r="51" spans="4:8" x14ac:dyDescent="0.15">
      <c r="D51" s="95"/>
      <c r="F51" s="95"/>
      <c r="H51" s="95"/>
    </row>
    <row r="52" spans="4:8" x14ac:dyDescent="0.15">
      <c r="D52" s="95"/>
      <c r="F52" s="95"/>
      <c r="H52" s="95"/>
    </row>
    <row r="53" spans="4:8" x14ac:dyDescent="0.15">
      <c r="D53" s="95"/>
      <c r="F53" s="95"/>
      <c r="H53" s="95"/>
    </row>
    <row r="54" spans="4:8" x14ac:dyDescent="0.15">
      <c r="D54" s="95"/>
      <c r="F54" s="95"/>
      <c r="H54" s="95"/>
    </row>
    <row r="55" spans="4:8" x14ac:dyDescent="0.15">
      <c r="D55" s="95"/>
      <c r="F55" s="95"/>
      <c r="H55" s="95"/>
    </row>
    <row r="56" spans="4:8" x14ac:dyDescent="0.15">
      <c r="D56" s="95"/>
      <c r="F56" s="95"/>
      <c r="H56" s="95"/>
    </row>
    <row r="57" spans="4:8" x14ac:dyDescent="0.15">
      <c r="D57" s="95"/>
      <c r="F57" s="95"/>
      <c r="H57" s="95"/>
    </row>
    <row r="58" spans="4:8" x14ac:dyDescent="0.15">
      <c r="D58" s="95"/>
      <c r="F58" s="95"/>
      <c r="H58" s="95"/>
    </row>
    <row r="59" spans="4:8" x14ac:dyDescent="0.15">
      <c r="D59" s="95"/>
      <c r="F59" s="95"/>
      <c r="H59" s="95"/>
    </row>
    <row r="60" spans="4:8" x14ac:dyDescent="0.15">
      <c r="D60" s="95"/>
      <c r="F60" s="95"/>
      <c r="H60" s="95"/>
    </row>
    <row r="61" spans="4:8" x14ac:dyDescent="0.15">
      <c r="D61" s="95"/>
      <c r="F61" s="95"/>
      <c r="H61" s="95"/>
    </row>
    <row r="62" spans="4:8" x14ac:dyDescent="0.15">
      <c r="D62" s="95"/>
      <c r="F62" s="95"/>
      <c r="H62" s="95"/>
    </row>
    <row r="63" spans="4:8" x14ac:dyDescent="0.15">
      <c r="D63" s="95"/>
      <c r="F63" s="95"/>
      <c r="H63" s="95"/>
    </row>
    <row r="64" spans="4:8" x14ac:dyDescent="0.15">
      <c r="D64" s="95"/>
      <c r="F64" s="95"/>
      <c r="H64" s="95"/>
    </row>
    <row r="65" spans="4:8" x14ac:dyDescent="0.15">
      <c r="D65" s="95"/>
      <c r="F65" s="95"/>
      <c r="H65" s="95"/>
    </row>
    <row r="66" spans="4:8" x14ac:dyDescent="0.15">
      <c r="D66" s="95"/>
      <c r="F66" s="95"/>
      <c r="H66" s="95"/>
    </row>
    <row r="67" spans="4:8" x14ac:dyDescent="0.15">
      <c r="D67" s="95"/>
      <c r="F67" s="95"/>
      <c r="H67" s="95"/>
    </row>
    <row r="68" spans="4:8" x14ac:dyDescent="0.15">
      <c r="D68" s="95"/>
      <c r="F68" s="95"/>
      <c r="H68" s="95"/>
    </row>
    <row r="69" spans="4:8" x14ac:dyDescent="0.15">
      <c r="D69" s="95"/>
      <c r="F69" s="95"/>
      <c r="H69" s="95"/>
    </row>
    <row r="70" spans="4:8" x14ac:dyDescent="0.15">
      <c r="D70" s="95"/>
      <c r="F70" s="95"/>
      <c r="H70" s="95"/>
    </row>
    <row r="71" spans="4:8" x14ac:dyDescent="0.15">
      <c r="D71" s="95"/>
      <c r="F71" s="95"/>
      <c r="H71" s="95"/>
    </row>
    <row r="72" spans="4:8" x14ac:dyDescent="0.15">
      <c r="D72" s="95"/>
      <c r="F72" s="95"/>
      <c r="H72" s="95"/>
    </row>
    <row r="73" spans="4:8" x14ac:dyDescent="0.15">
      <c r="D73" s="95"/>
      <c r="F73" s="95"/>
      <c r="H73" s="95"/>
    </row>
    <row r="74" spans="4:8" x14ac:dyDescent="0.15">
      <c r="D74" s="95"/>
      <c r="F74" s="95"/>
      <c r="H74" s="95"/>
    </row>
    <row r="75" spans="4:8" x14ac:dyDescent="0.15">
      <c r="D75" s="95"/>
      <c r="F75" s="95"/>
      <c r="H75" s="95"/>
    </row>
    <row r="76" spans="4:8" x14ac:dyDescent="0.15">
      <c r="D76" s="95"/>
      <c r="F76" s="95"/>
      <c r="H76" s="95"/>
    </row>
    <row r="77" spans="4:8" x14ac:dyDescent="0.15">
      <c r="D77" s="95"/>
      <c r="F77" s="95"/>
      <c r="H77" s="95"/>
    </row>
    <row r="78" spans="4:8" x14ac:dyDescent="0.15">
      <c r="D78" s="95"/>
      <c r="F78" s="95"/>
      <c r="H78" s="95"/>
    </row>
    <row r="79" spans="4:8" x14ac:dyDescent="0.15">
      <c r="D79" s="95"/>
      <c r="F79" s="95"/>
      <c r="H79" s="95"/>
    </row>
    <row r="80" spans="4:8" x14ac:dyDescent="0.15">
      <c r="D80" s="95"/>
      <c r="F80" s="95"/>
      <c r="H80" s="95"/>
    </row>
    <row r="81" spans="4:8" x14ac:dyDescent="0.15">
      <c r="D81" s="95"/>
      <c r="F81" s="95"/>
      <c r="H81" s="95"/>
    </row>
    <row r="82" spans="4:8" x14ac:dyDescent="0.15">
      <c r="D82" s="95"/>
      <c r="F82" s="95"/>
      <c r="H82" s="95"/>
    </row>
    <row r="83" spans="4:8" x14ac:dyDescent="0.15">
      <c r="D83" s="95"/>
      <c r="F83" s="95"/>
      <c r="H83" s="95"/>
    </row>
    <row r="84" spans="4:8" x14ac:dyDescent="0.15">
      <c r="D84" s="95"/>
      <c r="F84" s="95"/>
      <c r="H84" s="95"/>
    </row>
    <row r="85" spans="4:8" x14ac:dyDescent="0.15">
      <c r="D85" s="95"/>
      <c r="F85" s="95"/>
      <c r="H85" s="95"/>
    </row>
    <row r="86" spans="4:8" x14ac:dyDescent="0.15">
      <c r="D86" s="95"/>
      <c r="F86" s="95"/>
      <c r="H86" s="95"/>
    </row>
    <row r="87" spans="4:8" x14ac:dyDescent="0.15">
      <c r="D87" s="95"/>
      <c r="F87" s="95"/>
      <c r="H87" s="95"/>
    </row>
    <row r="88" spans="4:8" x14ac:dyDescent="0.15">
      <c r="D88" s="95"/>
      <c r="F88" s="95"/>
      <c r="H88" s="95"/>
    </row>
    <row r="89" spans="4:8" x14ac:dyDescent="0.15">
      <c r="D89" s="95"/>
      <c r="F89" s="95"/>
      <c r="H89" s="95"/>
    </row>
    <row r="90" spans="4:8" x14ac:dyDescent="0.15">
      <c r="D90" s="95"/>
      <c r="F90" s="95"/>
      <c r="H90" s="95"/>
    </row>
    <row r="91" spans="4:8" x14ac:dyDescent="0.15">
      <c r="D91" s="95"/>
      <c r="F91" s="95"/>
      <c r="H91" s="95"/>
    </row>
    <row r="92" spans="4:8" x14ac:dyDescent="0.15">
      <c r="D92" s="95"/>
      <c r="F92" s="95"/>
      <c r="H92" s="95"/>
    </row>
    <row r="93" spans="4:8" x14ac:dyDescent="0.15">
      <c r="D93" s="95"/>
      <c r="F93" s="95"/>
      <c r="H93" s="95"/>
    </row>
    <row r="94" spans="4:8" x14ac:dyDescent="0.15">
      <c r="D94" s="95"/>
      <c r="F94" s="95"/>
      <c r="H94" s="95"/>
    </row>
    <row r="95" spans="4:8" x14ac:dyDescent="0.15">
      <c r="D95" s="95"/>
      <c r="F95" s="95"/>
      <c r="H95" s="95"/>
    </row>
    <row r="96" spans="4:8" x14ac:dyDescent="0.15">
      <c r="D96" s="95"/>
      <c r="F96" s="95"/>
      <c r="H96" s="95"/>
    </row>
    <row r="97" spans="4:8" x14ac:dyDescent="0.15">
      <c r="D97" s="95"/>
      <c r="F97" s="95"/>
      <c r="H97" s="95"/>
    </row>
    <row r="98" spans="4:8" x14ac:dyDescent="0.15">
      <c r="D98" s="95"/>
      <c r="F98" s="95"/>
      <c r="H98" s="95"/>
    </row>
    <row r="99" spans="4:8" x14ac:dyDescent="0.15">
      <c r="D99" s="95"/>
      <c r="F99" s="95"/>
      <c r="H99" s="95"/>
    </row>
    <row r="100" spans="4:8" x14ac:dyDescent="0.15">
      <c r="D100" s="95"/>
      <c r="F100" s="95"/>
      <c r="H100" s="95"/>
    </row>
    <row r="101" spans="4:8" x14ac:dyDescent="0.15">
      <c r="D101" s="95"/>
      <c r="F101" s="95"/>
      <c r="H101" s="95"/>
    </row>
    <row r="102" spans="4:8" x14ac:dyDescent="0.15">
      <c r="D102" s="95"/>
      <c r="F102" s="95"/>
      <c r="H102" s="95"/>
    </row>
    <row r="103" spans="4:8" x14ac:dyDescent="0.15">
      <c r="D103" s="95"/>
      <c r="F103" s="95"/>
      <c r="H103" s="95"/>
    </row>
    <row r="104" spans="4:8" x14ac:dyDescent="0.15">
      <c r="D104" s="95"/>
      <c r="F104" s="95"/>
      <c r="H104" s="95"/>
    </row>
    <row r="105" spans="4:8" x14ac:dyDescent="0.15">
      <c r="D105" s="95"/>
      <c r="F105" s="95"/>
      <c r="H105" s="95"/>
    </row>
    <row r="106" spans="4:8" x14ac:dyDescent="0.15">
      <c r="D106" s="95"/>
      <c r="F106" s="95"/>
      <c r="H106" s="95"/>
    </row>
    <row r="107" spans="4:8" x14ac:dyDescent="0.15">
      <c r="D107" s="95"/>
      <c r="F107" s="95"/>
      <c r="H107" s="95"/>
    </row>
    <row r="108" spans="4:8" x14ac:dyDescent="0.15">
      <c r="D108" s="95"/>
      <c r="F108" s="95"/>
      <c r="H108" s="95"/>
    </row>
    <row r="109" spans="4:8" x14ac:dyDescent="0.15">
      <c r="D109" s="95"/>
      <c r="F109" s="95"/>
      <c r="H109" s="95"/>
    </row>
    <row r="110" spans="4:8" x14ac:dyDescent="0.15">
      <c r="D110" s="95"/>
      <c r="F110" s="95"/>
      <c r="H110" s="95"/>
    </row>
    <row r="111" spans="4:8" x14ac:dyDescent="0.15">
      <c r="D111" s="95"/>
      <c r="F111" s="95"/>
      <c r="H111" s="95"/>
    </row>
    <row r="112" spans="4:8" x14ac:dyDescent="0.15">
      <c r="D112" s="95"/>
      <c r="F112" s="95"/>
      <c r="H112" s="95"/>
    </row>
    <row r="113" spans="4:8" x14ac:dyDescent="0.15">
      <c r="D113" s="95"/>
      <c r="F113" s="95"/>
      <c r="H113" s="95"/>
    </row>
    <row r="114" spans="4:8" x14ac:dyDescent="0.15">
      <c r="D114" s="95"/>
      <c r="F114" s="95"/>
      <c r="H114" s="95"/>
    </row>
    <row r="115" spans="4:8" x14ac:dyDescent="0.15">
      <c r="D115" s="95"/>
      <c r="F115" s="95"/>
      <c r="H115" s="95"/>
    </row>
    <row r="116" spans="4:8" x14ac:dyDescent="0.15">
      <c r="D116" s="95"/>
      <c r="F116" s="95"/>
      <c r="H116" s="95"/>
    </row>
    <row r="117" spans="4:8" x14ac:dyDescent="0.15">
      <c r="D117" s="95"/>
      <c r="F117" s="95"/>
      <c r="H117" s="95"/>
    </row>
    <row r="118" spans="4:8" x14ac:dyDescent="0.15">
      <c r="D118" s="95"/>
      <c r="F118" s="95"/>
      <c r="H118" s="95"/>
    </row>
    <row r="119" spans="4:8" x14ac:dyDescent="0.15">
      <c r="D119" s="95"/>
      <c r="F119" s="95"/>
      <c r="H119" s="95"/>
    </row>
    <row r="120" spans="4:8" x14ac:dyDescent="0.15">
      <c r="D120" s="95"/>
      <c r="F120" s="95"/>
      <c r="H120" s="95"/>
    </row>
    <row r="121" spans="4:8" x14ac:dyDescent="0.15">
      <c r="D121" s="95"/>
      <c r="F121" s="95"/>
      <c r="H121" s="95"/>
    </row>
    <row r="122" spans="4:8" x14ac:dyDescent="0.15">
      <c r="D122" s="95"/>
      <c r="F122" s="95"/>
      <c r="H122" s="95"/>
    </row>
    <row r="123" spans="4:8" x14ac:dyDescent="0.15">
      <c r="D123" s="95"/>
      <c r="F123" s="95"/>
      <c r="H123" s="95"/>
    </row>
    <row r="124" spans="4:8" x14ac:dyDescent="0.15">
      <c r="D124" s="95"/>
      <c r="F124" s="95"/>
      <c r="H124" s="95"/>
    </row>
    <row r="125" spans="4:8" x14ac:dyDescent="0.15">
      <c r="D125" s="95"/>
      <c r="F125" s="95"/>
      <c r="H125" s="95"/>
    </row>
    <row r="126" spans="4:8" x14ac:dyDescent="0.15">
      <c r="D126" s="95"/>
      <c r="F126" s="95"/>
      <c r="H126" s="95"/>
    </row>
    <row r="127" spans="4:8" x14ac:dyDescent="0.15">
      <c r="D127" s="95"/>
      <c r="F127" s="95"/>
      <c r="H127" s="95"/>
    </row>
    <row r="128" spans="4:8" x14ac:dyDescent="0.15">
      <c r="D128" s="95"/>
      <c r="F128" s="95"/>
      <c r="H128" s="95"/>
    </row>
    <row r="129" spans="4:8" x14ac:dyDescent="0.15">
      <c r="D129" s="95"/>
      <c r="F129" s="95"/>
      <c r="H129" s="95"/>
    </row>
    <row r="130" spans="4:8" x14ac:dyDescent="0.15">
      <c r="D130" s="95"/>
      <c r="F130" s="95"/>
      <c r="H130" s="95"/>
    </row>
    <row r="131" spans="4:8" x14ac:dyDescent="0.15">
      <c r="D131" s="95"/>
      <c r="F131" s="95"/>
      <c r="H131" s="95"/>
    </row>
    <row r="132" spans="4:8" x14ac:dyDescent="0.15">
      <c r="D132" s="95"/>
      <c r="F132" s="95"/>
      <c r="H132" s="95"/>
    </row>
    <row r="133" spans="4:8" x14ac:dyDescent="0.15">
      <c r="D133" s="95"/>
      <c r="F133" s="95"/>
      <c r="H133" s="95"/>
    </row>
    <row r="134" spans="4:8" x14ac:dyDescent="0.15">
      <c r="D134" s="95"/>
      <c r="F134" s="95"/>
      <c r="H134" s="95"/>
    </row>
    <row r="135" spans="4:8" x14ac:dyDescent="0.15">
      <c r="D135" s="95"/>
      <c r="F135" s="95"/>
      <c r="H135" s="95"/>
    </row>
    <row r="136" spans="4:8" x14ac:dyDescent="0.15">
      <c r="D136" s="95"/>
      <c r="F136" s="95"/>
      <c r="H136" s="95"/>
    </row>
    <row r="137" spans="4:8" x14ac:dyDescent="0.15">
      <c r="D137" s="95"/>
      <c r="F137" s="95"/>
      <c r="H137" s="95"/>
    </row>
    <row r="138" spans="4:8" x14ac:dyDescent="0.15">
      <c r="D138" s="95"/>
      <c r="F138" s="95"/>
      <c r="H138" s="95"/>
    </row>
    <row r="139" spans="4:8" x14ac:dyDescent="0.15">
      <c r="D139" s="95"/>
      <c r="F139" s="95"/>
      <c r="H139" s="95"/>
    </row>
    <row r="140" spans="4:8" x14ac:dyDescent="0.15">
      <c r="D140" s="95"/>
      <c r="F140" s="95"/>
      <c r="H140" s="95"/>
    </row>
    <row r="141" spans="4:8" x14ac:dyDescent="0.15">
      <c r="D141" s="95"/>
      <c r="F141" s="95"/>
      <c r="H141" s="95"/>
    </row>
    <row r="142" spans="4:8" x14ac:dyDescent="0.15">
      <c r="D142" s="95"/>
      <c r="F142" s="95"/>
      <c r="H142" s="95"/>
    </row>
    <row r="143" spans="4:8" x14ac:dyDescent="0.15">
      <c r="D143" s="95"/>
      <c r="F143" s="95"/>
      <c r="H143" s="95"/>
    </row>
    <row r="144" spans="4:8" x14ac:dyDescent="0.15">
      <c r="D144" s="95"/>
      <c r="F144" s="95"/>
      <c r="H144" s="95"/>
    </row>
    <row r="145" spans="4:8" x14ac:dyDescent="0.15">
      <c r="D145" s="95"/>
      <c r="F145" s="95"/>
      <c r="H145" s="95"/>
    </row>
    <row r="146" spans="4:8" x14ac:dyDescent="0.15">
      <c r="D146" s="95"/>
      <c r="F146" s="95"/>
      <c r="H146" s="95"/>
    </row>
    <row r="147" spans="4:8" x14ac:dyDescent="0.15">
      <c r="D147" s="95"/>
      <c r="F147" s="95"/>
      <c r="H147" s="95"/>
    </row>
    <row r="148" spans="4:8" x14ac:dyDescent="0.15">
      <c r="D148" s="95"/>
      <c r="F148" s="95"/>
      <c r="H148" s="95"/>
    </row>
    <row r="149" spans="4:8" x14ac:dyDescent="0.15">
      <c r="D149" s="95"/>
      <c r="F149" s="95"/>
      <c r="H149" s="95"/>
    </row>
    <row r="150" spans="4:8" x14ac:dyDescent="0.15">
      <c r="D150" s="95"/>
      <c r="F150" s="95"/>
      <c r="H150" s="95"/>
    </row>
    <row r="151" spans="4:8" x14ac:dyDescent="0.15">
      <c r="D151" s="95"/>
      <c r="F151" s="95"/>
      <c r="H151" s="95"/>
    </row>
  </sheetData>
  <sheetProtection algorithmName="SHA-512" hashValue="9p9437VToJRcjfC7Ukxrg6ttw/lHxST+7uBI4jFrnOcEnYn5H9r2KlAh1wcwaKdF7v84d0SCB4lEpgAHBbb0sA==" saltValue="XUJgyfkKUrXZQgTpq43FFA==" spinCount="100000" sheet="1" objects="1" scenarios="1" selectLockedCells="1"/>
  <mergeCells count="2">
    <mergeCell ref="B1:F1"/>
    <mergeCell ref="L3:N8"/>
  </mergeCells>
  <phoneticPr fontId="1"/>
  <conditionalFormatting sqref="B11">
    <cfRule type="expression" dxfId="97" priority="214" stopIfTrue="1">
      <formula>NOT(ISERROR(SEARCH("女",$B11)))</formula>
    </cfRule>
    <cfRule type="expression" dxfId="96" priority="215" stopIfTrue="1">
      <formula>NOT(ISERROR(SEARCH("男",$B11)))</formula>
    </cfRule>
  </conditionalFormatting>
  <conditionalFormatting sqref="C11:D11 F11 H11 C16 C21">
    <cfRule type="expression" dxfId="95" priority="216" stopIfTrue="1">
      <formula>NOT(ISERROR(SEARCH("女",$B11)))</formula>
    </cfRule>
    <cfRule type="expression" dxfId="94" priority="217" stopIfTrue="1">
      <formula>NOT(ISERROR(SEARCH("男",$B11)))</formula>
    </cfRule>
  </conditionalFormatting>
  <conditionalFormatting sqref="D10:I10">
    <cfRule type="expression" dxfId="93" priority="218" stopIfTrue="1">
      <formula>NOT(ISERROR(SEARCH("女",$B11)))</formula>
    </cfRule>
    <cfRule type="expression" dxfId="92" priority="219" stopIfTrue="1">
      <formula>NOT(ISERROR(SEARCH("男",$B11)))</formula>
    </cfRule>
  </conditionalFormatting>
  <conditionalFormatting sqref="D12:I12">
    <cfRule type="expression" dxfId="91" priority="220" stopIfTrue="1">
      <formula>NOT(ISERROR(SEARCH("女",$B11)))</formula>
    </cfRule>
    <cfRule type="expression" dxfId="90" priority="221" stopIfTrue="1">
      <formula>NOT(ISERROR(SEARCH("男",$B11)))</formula>
    </cfRule>
  </conditionalFormatting>
  <conditionalFormatting sqref="E11 G11 I11">
    <cfRule type="expression" dxfId="89" priority="222" stopIfTrue="1">
      <formula>AND(E11="",E10&gt;0)</formula>
    </cfRule>
    <cfRule type="expression" dxfId="88" priority="223" stopIfTrue="1">
      <formula>NOT(ISERROR(SEARCH("女",$B11)))</formula>
    </cfRule>
    <cfRule type="expression" dxfId="87" priority="224" stopIfTrue="1">
      <formula>NOT(ISERROR(SEARCH("男",$B11)))</formula>
    </cfRule>
  </conditionalFormatting>
  <conditionalFormatting sqref="F13 H13 C13:D13 C18 C23">
    <cfRule type="expression" dxfId="86" priority="225" stopIfTrue="1">
      <formula>NOT(ISERROR(SEARCH("女",$B11)))</formula>
    </cfRule>
    <cfRule type="expression" dxfId="85" priority="226" stopIfTrue="1">
      <formula>NOT(ISERROR(SEARCH("男",$B11)))</formula>
    </cfRule>
  </conditionalFormatting>
  <conditionalFormatting sqref="E13 G13 I13">
    <cfRule type="expression" dxfId="84" priority="227" stopIfTrue="1">
      <formula>AND(E13="",E12&gt;0)</formula>
    </cfRule>
    <cfRule type="expression" dxfId="83" priority="228" stopIfTrue="1">
      <formula>NOT(ISERROR(SEARCH("女",$B11)))</formula>
    </cfRule>
    <cfRule type="expression" dxfId="82" priority="229" stopIfTrue="1">
      <formula>NOT(ISERROR(SEARCH("男",$B11)))</formula>
    </cfRule>
  </conditionalFormatting>
  <conditionalFormatting sqref="K13 K11">
    <cfRule type="cellIs" dxfId="81" priority="195" stopIfTrue="1" operator="equal">
      <formula>"ﾅﾝﾊﾞｰｶｰﾄﾞ確認下さい"</formula>
    </cfRule>
  </conditionalFormatting>
  <conditionalFormatting sqref="K18 K16">
    <cfRule type="cellIs" dxfId="80" priority="194" stopIfTrue="1" operator="equal">
      <formula>"ﾅﾝﾊﾞｰｶｰﾄﾞ確認下さい"</formula>
    </cfRule>
  </conditionalFormatting>
  <conditionalFormatting sqref="K23 K21">
    <cfRule type="cellIs" dxfId="79" priority="193" stopIfTrue="1" operator="equal">
      <formula>"ﾅﾝﾊﾞｰｶｰﾄﾞ確認下さい"</formula>
    </cfRule>
  </conditionalFormatting>
  <conditionalFormatting sqref="C21">
    <cfRule type="expression" dxfId="78" priority="281" stopIfTrue="1">
      <formula>#REF!=1</formula>
    </cfRule>
  </conditionalFormatting>
  <conditionalFormatting sqref="C16">
    <cfRule type="expression" dxfId="77" priority="282" stopIfTrue="1">
      <formula>#REF!=1</formula>
    </cfRule>
  </conditionalFormatting>
  <conditionalFormatting sqref="D16 F16 H16">
    <cfRule type="expression" dxfId="76" priority="123" stopIfTrue="1">
      <formula>NOT(ISERROR(SEARCH("女",$B16)))</formula>
    </cfRule>
    <cfRule type="expression" dxfId="75" priority="124" stopIfTrue="1">
      <formula>NOT(ISERROR(SEARCH("男",$B16)))</formula>
    </cfRule>
  </conditionalFormatting>
  <conditionalFormatting sqref="D15:I15">
    <cfRule type="expression" dxfId="74" priority="125" stopIfTrue="1">
      <formula>NOT(ISERROR(SEARCH("女",$B16)))</formula>
    </cfRule>
    <cfRule type="expression" dxfId="73" priority="126" stopIfTrue="1">
      <formula>NOT(ISERROR(SEARCH("男",$B16)))</formula>
    </cfRule>
  </conditionalFormatting>
  <conditionalFormatting sqref="D17:I17">
    <cfRule type="expression" dxfId="72" priority="127" stopIfTrue="1">
      <formula>NOT(ISERROR(SEARCH("女",$B16)))</formula>
    </cfRule>
    <cfRule type="expression" dxfId="71" priority="128" stopIfTrue="1">
      <formula>NOT(ISERROR(SEARCH("男",$B16)))</formula>
    </cfRule>
  </conditionalFormatting>
  <conditionalFormatting sqref="E16 G16 I16">
    <cfRule type="expression" dxfId="70" priority="129" stopIfTrue="1">
      <formula>AND(E16="",E15&gt;0)</formula>
    </cfRule>
    <cfRule type="expression" dxfId="69" priority="130" stopIfTrue="1">
      <formula>NOT(ISERROR(SEARCH("女",$B16)))</formula>
    </cfRule>
    <cfRule type="expression" dxfId="68" priority="131" stopIfTrue="1">
      <formula>NOT(ISERROR(SEARCH("男",$B16)))</formula>
    </cfRule>
  </conditionalFormatting>
  <conditionalFormatting sqref="F18 H18 D18">
    <cfRule type="expression" dxfId="67" priority="132" stopIfTrue="1">
      <formula>NOT(ISERROR(SEARCH("女",$B16)))</formula>
    </cfRule>
    <cfRule type="expression" dxfId="66" priority="133" stopIfTrue="1">
      <formula>NOT(ISERROR(SEARCH("男",$B16)))</formula>
    </cfRule>
  </conditionalFormatting>
  <conditionalFormatting sqref="E18 G18 I18">
    <cfRule type="expression" dxfId="65" priority="134" stopIfTrue="1">
      <formula>AND(E18="",E17&gt;0)</formula>
    </cfRule>
    <cfRule type="expression" dxfId="64" priority="135" stopIfTrue="1">
      <formula>NOT(ISERROR(SEARCH("女",$B16)))</formula>
    </cfRule>
    <cfRule type="expression" dxfId="63" priority="136" stopIfTrue="1">
      <formula>NOT(ISERROR(SEARCH("男",$B16)))</formula>
    </cfRule>
  </conditionalFormatting>
  <conditionalFormatting sqref="D21 F21 H21">
    <cfRule type="expression" dxfId="62" priority="109" stopIfTrue="1">
      <formula>NOT(ISERROR(SEARCH("女",$B21)))</formula>
    </cfRule>
    <cfRule type="expression" dxfId="61" priority="110" stopIfTrue="1">
      <formula>NOT(ISERROR(SEARCH("男",$B21)))</formula>
    </cfRule>
  </conditionalFormatting>
  <conditionalFormatting sqref="D20:I20">
    <cfRule type="expression" dxfId="60" priority="111" stopIfTrue="1">
      <formula>NOT(ISERROR(SEARCH("女",$B21)))</formula>
    </cfRule>
    <cfRule type="expression" dxfId="59" priority="112" stopIfTrue="1">
      <formula>NOT(ISERROR(SEARCH("男",$B21)))</formula>
    </cfRule>
  </conditionalFormatting>
  <conditionalFormatting sqref="D22:I22">
    <cfRule type="expression" dxfId="58" priority="113" stopIfTrue="1">
      <formula>NOT(ISERROR(SEARCH("女",$B21)))</formula>
    </cfRule>
    <cfRule type="expression" dxfId="57" priority="114" stopIfTrue="1">
      <formula>NOT(ISERROR(SEARCH("男",$B21)))</formula>
    </cfRule>
  </conditionalFormatting>
  <conditionalFormatting sqref="E21 G21 I21">
    <cfRule type="expression" dxfId="56" priority="115" stopIfTrue="1">
      <formula>AND(E21="",E20&gt;0)</formula>
    </cfRule>
    <cfRule type="expression" dxfId="55" priority="116" stopIfTrue="1">
      <formula>NOT(ISERROR(SEARCH("女",$B21)))</formula>
    </cfRule>
    <cfRule type="expression" dxfId="54" priority="117" stopIfTrue="1">
      <formula>NOT(ISERROR(SEARCH("男",$B21)))</formula>
    </cfRule>
  </conditionalFormatting>
  <conditionalFormatting sqref="F23 H23 D23">
    <cfRule type="expression" dxfId="53" priority="118" stopIfTrue="1">
      <formula>NOT(ISERROR(SEARCH("女",$B21)))</formula>
    </cfRule>
    <cfRule type="expression" dxfId="52" priority="119" stopIfTrue="1">
      <formula>NOT(ISERROR(SEARCH("男",$B21)))</formula>
    </cfRule>
  </conditionalFormatting>
  <conditionalFormatting sqref="E23 G23 I23">
    <cfRule type="expression" dxfId="51" priority="120" stopIfTrue="1">
      <formula>AND(E23="",E22&gt;0)</formula>
    </cfRule>
    <cfRule type="expression" dxfId="50" priority="121" stopIfTrue="1">
      <formula>NOT(ISERROR(SEARCH("女",$B21)))</formula>
    </cfRule>
    <cfRule type="expression" dxfId="49" priority="122" stopIfTrue="1">
      <formula>NOT(ISERROR(SEARCH("男",$B21)))</formula>
    </cfRule>
  </conditionalFormatting>
  <conditionalFormatting sqref="B16">
    <cfRule type="expression" dxfId="48" priority="107" stopIfTrue="1">
      <formula>NOT(ISERROR(SEARCH("女",$B16)))</formula>
    </cfRule>
    <cfRule type="expression" dxfId="47" priority="108" stopIfTrue="1">
      <formula>NOT(ISERROR(SEARCH("男",$B16)))</formula>
    </cfRule>
  </conditionalFormatting>
  <conditionalFormatting sqref="B21">
    <cfRule type="expression" dxfId="46" priority="105" stopIfTrue="1">
      <formula>NOT(ISERROR(SEARCH("女",$B21)))</formula>
    </cfRule>
    <cfRule type="expression" dxfId="45" priority="106" stopIfTrue="1">
      <formula>NOT(ISERROR(SEARCH("男",$B21)))</formula>
    </cfRule>
  </conditionalFormatting>
  <conditionalFormatting sqref="C26">
    <cfRule type="expression" dxfId="44" priority="53" stopIfTrue="1">
      <formula>NOT(ISERROR(SEARCH("女",$B26)))</formula>
    </cfRule>
    <cfRule type="expression" dxfId="43" priority="54" stopIfTrue="1">
      <formula>NOT(ISERROR(SEARCH("男",$B26)))</formula>
    </cfRule>
  </conditionalFormatting>
  <conditionalFormatting sqref="C28">
    <cfRule type="expression" dxfId="42" priority="55" stopIfTrue="1">
      <formula>NOT(ISERROR(SEARCH("女",$B26)))</formula>
    </cfRule>
    <cfRule type="expression" dxfId="41" priority="56" stopIfTrue="1">
      <formula>NOT(ISERROR(SEARCH("男",$B26)))</formula>
    </cfRule>
  </conditionalFormatting>
  <conditionalFormatting sqref="C26">
    <cfRule type="expression" dxfId="40" priority="57" stopIfTrue="1">
      <formula>#REF!=1</formula>
    </cfRule>
  </conditionalFormatting>
  <conditionalFormatting sqref="D26 F26 H26">
    <cfRule type="expression" dxfId="39" priority="39" stopIfTrue="1">
      <formula>NOT(ISERROR(SEARCH("女",$B26)))</formula>
    </cfRule>
    <cfRule type="expression" dxfId="38" priority="40" stopIfTrue="1">
      <formula>NOT(ISERROR(SEARCH("男",$B26)))</formula>
    </cfRule>
  </conditionalFormatting>
  <conditionalFormatting sqref="D25:I25">
    <cfRule type="expression" dxfId="37" priority="41" stopIfTrue="1">
      <formula>NOT(ISERROR(SEARCH("女",$B26)))</formula>
    </cfRule>
    <cfRule type="expression" dxfId="36" priority="42" stopIfTrue="1">
      <formula>NOT(ISERROR(SEARCH("男",$B26)))</formula>
    </cfRule>
  </conditionalFormatting>
  <conditionalFormatting sqref="D27:I27">
    <cfRule type="expression" dxfId="35" priority="43" stopIfTrue="1">
      <formula>NOT(ISERROR(SEARCH("女",$B26)))</formula>
    </cfRule>
    <cfRule type="expression" dxfId="34" priority="44" stopIfTrue="1">
      <formula>NOT(ISERROR(SEARCH("男",$B26)))</formula>
    </cfRule>
  </conditionalFormatting>
  <conditionalFormatting sqref="E26 G26 I26">
    <cfRule type="expression" dxfId="33" priority="45" stopIfTrue="1">
      <formula>AND(E26="",E25&gt;0)</formula>
    </cfRule>
    <cfRule type="expression" dxfId="32" priority="46" stopIfTrue="1">
      <formula>NOT(ISERROR(SEARCH("女",$B26)))</formula>
    </cfRule>
    <cfRule type="expression" dxfId="31" priority="47" stopIfTrue="1">
      <formula>NOT(ISERROR(SEARCH("男",$B26)))</formula>
    </cfRule>
  </conditionalFormatting>
  <conditionalFormatting sqref="F28 H28 D28">
    <cfRule type="expression" dxfId="30" priority="48" stopIfTrue="1">
      <formula>NOT(ISERROR(SEARCH("女",$B26)))</formula>
    </cfRule>
    <cfRule type="expression" dxfId="29" priority="49" stopIfTrue="1">
      <formula>NOT(ISERROR(SEARCH("男",$B26)))</formula>
    </cfRule>
  </conditionalFormatting>
  <conditionalFormatting sqref="E28 G28 I28">
    <cfRule type="expression" dxfId="28" priority="50" stopIfTrue="1">
      <formula>AND(E28="",E27&gt;0)</formula>
    </cfRule>
    <cfRule type="expression" dxfId="27" priority="51" stopIfTrue="1">
      <formula>NOT(ISERROR(SEARCH("女",$B26)))</formula>
    </cfRule>
    <cfRule type="expression" dxfId="26" priority="52" stopIfTrue="1">
      <formula>NOT(ISERROR(SEARCH("男",$B26)))</formula>
    </cfRule>
  </conditionalFormatting>
  <conditionalFormatting sqref="B26">
    <cfRule type="expression" dxfId="25" priority="37" stopIfTrue="1">
      <formula>NOT(ISERROR(SEARCH("女",$B26)))</formula>
    </cfRule>
    <cfRule type="expression" dxfId="24" priority="38" stopIfTrue="1">
      <formula>NOT(ISERROR(SEARCH("男",$B26)))</formula>
    </cfRule>
  </conditionalFormatting>
  <conditionalFormatting sqref="L11:N11">
    <cfRule type="cellIs" dxfId="23" priority="26" stopIfTrue="1" operator="equal">
      <formula>"ﾅﾝﾊﾞｰｶｰﾄﾞ確認下さい"</formula>
    </cfRule>
  </conditionalFormatting>
  <conditionalFormatting sqref="L13:N13">
    <cfRule type="cellIs" dxfId="22" priority="23" stopIfTrue="1" operator="equal">
      <formula>"ﾅﾝﾊﾞｰｶｰﾄﾞ確認下さい"</formula>
    </cfRule>
  </conditionalFormatting>
  <conditionalFormatting sqref="L12">
    <cfRule type="cellIs" dxfId="21" priority="22" stopIfTrue="1" operator="notEqual">
      <formula>1</formula>
    </cfRule>
  </conditionalFormatting>
  <conditionalFormatting sqref="N12">
    <cfRule type="cellIs" dxfId="20" priority="21" stopIfTrue="1" operator="notEqual">
      <formula>1</formula>
    </cfRule>
  </conditionalFormatting>
  <conditionalFormatting sqref="L16:N16">
    <cfRule type="cellIs" dxfId="19" priority="20" stopIfTrue="1" operator="equal">
      <formula>"ﾅﾝﾊﾞｰｶｰﾄﾞ確認下さい"</formula>
    </cfRule>
  </conditionalFormatting>
  <conditionalFormatting sqref="L15">
    <cfRule type="cellIs" dxfId="18" priority="19" stopIfTrue="1" operator="notEqual">
      <formula>1</formula>
    </cfRule>
  </conditionalFormatting>
  <conditionalFormatting sqref="N15">
    <cfRule type="cellIs" dxfId="17" priority="18" stopIfTrue="1" operator="notEqual">
      <formula>1</formula>
    </cfRule>
  </conditionalFormatting>
  <conditionalFormatting sqref="L17">
    <cfRule type="cellIs" dxfId="16" priority="17" stopIfTrue="1" operator="notEqual">
      <formula>1</formula>
    </cfRule>
  </conditionalFormatting>
  <conditionalFormatting sqref="N17">
    <cfRule type="cellIs" dxfId="15" priority="16" stopIfTrue="1" operator="notEqual">
      <formula>1</formula>
    </cfRule>
  </conditionalFormatting>
  <conditionalFormatting sqref="L21:N21">
    <cfRule type="cellIs" dxfId="14" priority="15" stopIfTrue="1" operator="equal">
      <formula>"ﾅﾝﾊﾞｰｶｰﾄﾞ確認下さい"</formula>
    </cfRule>
  </conditionalFormatting>
  <conditionalFormatting sqref="L20">
    <cfRule type="cellIs" dxfId="13" priority="14" stopIfTrue="1" operator="notEqual">
      <formula>1</formula>
    </cfRule>
  </conditionalFormatting>
  <conditionalFormatting sqref="N20">
    <cfRule type="cellIs" dxfId="12" priority="13" stopIfTrue="1" operator="notEqual">
      <formula>1</formula>
    </cfRule>
  </conditionalFormatting>
  <conditionalFormatting sqref="L23:N23">
    <cfRule type="cellIs" dxfId="11" priority="12" stopIfTrue="1" operator="equal">
      <formula>"ﾅﾝﾊﾞｰｶｰﾄﾞ確認下さい"</formula>
    </cfRule>
  </conditionalFormatting>
  <conditionalFormatting sqref="L22">
    <cfRule type="cellIs" dxfId="10" priority="11" stopIfTrue="1" operator="notEqual">
      <formula>1</formula>
    </cfRule>
  </conditionalFormatting>
  <conditionalFormatting sqref="N22">
    <cfRule type="cellIs" dxfId="9" priority="10" stopIfTrue="1" operator="notEqual">
      <formula>1</formula>
    </cfRule>
  </conditionalFormatting>
  <conditionalFormatting sqref="L26:N26">
    <cfRule type="cellIs" dxfId="8" priority="9" stopIfTrue="1" operator="equal">
      <formula>"ﾅﾝﾊﾞｰｶｰﾄﾞ確認下さい"</formula>
    </cfRule>
  </conditionalFormatting>
  <conditionalFormatting sqref="L25">
    <cfRule type="cellIs" dxfId="7" priority="8" stopIfTrue="1" operator="notEqual">
      <formula>1</formula>
    </cfRule>
  </conditionalFormatting>
  <conditionalFormatting sqref="N25">
    <cfRule type="cellIs" dxfId="6" priority="7" stopIfTrue="1" operator="notEqual">
      <formula>1</formula>
    </cfRule>
  </conditionalFormatting>
  <conditionalFormatting sqref="L28:N28">
    <cfRule type="cellIs" dxfId="5" priority="6" stopIfTrue="1" operator="equal">
      <formula>"ﾅﾝﾊﾞｰｶｰﾄﾞ確認下さい"</formula>
    </cfRule>
  </conditionalFormatting>
  <conditionalFormatting sqref="L27">
    <cfRule type="cellIs" dxfId="4" priority="5" stopIfTrue="1" operator="notEqual">
      <formula>1</formula>
    </cfRule>
  </conditionalFormatting>
  <conditionalFormatting sqref="N27">
    <cfRule type="cellIs" dxfId="3" priority="4" stopIfTrue="1" operator="notEqual">
      <formula>1</formula>
    </cfRule>
  </conditionalFormatting>
  <conditionalFormatting sqref="L18:N18">
    <cfRule type="cellIs" dxfId="2" priority="3" stopIfTrue="1" operator="equal">
      <formula>"ﾅﾝﾊﾞｰｶｰﾄﾞ確認下さい"</formula>
    </cfRule>
  </conditionalFormatting>
  <conditionalFormatting sqref="L10">
    <cfRule type="cellIs" dxfId="1" priority="2" stopIfTrue="1" operator="notEqual">
      <formula>1</formula>
    </cfRule>
  </conditionalFormatting>
  <conditionalFormatting sqref="N10">
    <cfRule type="cellIs" dxfId="0" priority="1" stopIfTrue="1" operator="notEqual">
      <formula>1</formula>
    </cfRule>
  </conditionalFormatting>
  <dataValidations count="8">
    <dataValidation imeMode="halfKatakana" showInputMessage="1" showErrorMessage="1" sqref="E11 G11 E16 G16 I18 I16 E18 G18 I13 I11 E13 G13 E21 G21 E23 I21 G23 I23 E26 G26 E28 I26 G28 I28"/>
    <dataValidation type="whole" allowBlank="1" showInputMessage="1" showErrorMessage="1" sqref="C13 C18 C23 C28">
      <formula1>1111</formula1>
      <formula2>999999</formula2>
    </dataValidation>
    <dataValidation type="list" allowBlank="1" showInputMessage="1" showErrorMessage="1" sqref="B13 B18 B23 B28">
      <formula1>$P$13:$V$13</formula1>
    </dataValidation>
    <dataValidation imeMode="disabled" allowBlank="1" showInputMessage="1" showErrorMessage="1" sqref="D10 F10 H10 D12 F12 H12 D15 F15 H15 D17 F17 H17 D20 F20 H20 D22 F22 H22 D25 F25 H25 D27 F27 H27"/>
    <dataValidation type="list" imeMode="disabled" allowBlank="1" showInputMessage="1" showErrorMessage="1" sqref="D11 D16 F16 H18 F18 D18 H16 F11 H13 F13 D13 H11 D21 F21 F23 D23 H21 H23 D26 F26 F28 D28 H26 H28">
      <formula1>$Q$20:$V$20</formula1>
    </dataValidation>
    <dataValidation type="list" allowBlank="1" showInputMessage="1" showErrorMessage="1" sqref="B11 B16 B21 B26">
      <formula1>$Q$15:$R$15</formula1>
    </dataValidation>
    <dataValidation imeMode="hiragana" allowBlank="1" showInputMessage="1" showErrorMessage="1" sqref="E10 G10 I10 E12 G12 I12 E15 G15 I15 E17 G17 I17 E20 G20 I20 E22 G22 I22 E25 G25 I25 E27 G27 I27"/>
    <dataValidation type="list" allowBlank="1" showInputMessage="1" showErrorMessage="1" sqref="C11 C16 C21 C26">
      <formula1>IF(B11="男子",$Q$16:$R$16,IF(B11="女子",$Q$16:$R$16,""))</formula1>
    </dataValidation>
  </dataValidations>
  <pageMargins left="0.25" right="0.25" top="0.75" bottom="0.75" header="0.3" footer="0.3"/>
  <pageSetup paperSize="9" scale="95" orientation="portrait" horizontalDpi="4294967293" r:id="rId1"/>
  <ignoredErrors>
    <ignoredError sqref="L11:N11 L16:N16 L21:N21 L26:N26 L17:N17"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13</vt:i4>
      </vt:variant>
    </vt:vector>
  </HeadingPairs>
  <TitlesOfParts>
    <vt:vector size="16" baseType="lpstr">
      <vt:lpstr>エントリーについての注意と手順</vt:lpstr>
      <vt:lpstr>個人種目申込一覧表</vt:lpstr>
      <vt:lpstr>リレー申込票</vt:lpstr>
      <vt:lpstr>エントリーについての注意と手順!Print_Area</vt:lpstr>
      <vt:lpstr>リレー申込票!Print_Area</vt:lpstr>
      <vt:lpstr>個人種目申込一覧表!Print_Area</vt:lpstr>
      <vt:lpstr>リレークラス</vt:lpstr>
      <vt:lpstr>個人種目申込一覧表!一･高女子</vt:lpstr>
      <vt:lpstr>一･高女子</vt:lpstr>
      <vt:lpstr>個人種目申込一覧表!一･高男子</vt:lpstr>
      <vt:lpstr>一･高男子</vt:lpstr>
      <vt:lpstr>性</vt:lpstr>
      <vt:lpstr>個人種目申込一覧表!中学女子</vt:lpstr>
      <vt:lpstr>中学女子</vt:lpstr>
      <vt:lpstr>個人種目申込一覧表!中学男子</vt:lpstr>
      <vt:lpstr>中学男子</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junogawa</cp:lastModifiedBy>
  <cp:lastPrinted>2020-03-11T09:15:42Z</cp:lastPrinted>
  <dcterms:created xsi:type="dcterms:W3CDTF">2009-03-04T01:02:54Z</dcterms:created>
  <dcterms:modified xsi:type="dcterms:W3CDTF">2023-01-15T00:52:51Z</dcterms:modified>
</cp:coreProperties>
</file>