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2026松本市民春季\"/>
    </mc:Choice>
  </mc:AlternateContent>
  <xr:revisionPtr revIDLastSave="0" documentId="13_ncr:1_{D3C7B2C6-E905-46C4-B9A2-508AC17B31DE}" xr6:coauthVersionLast="47" xr6:coauthVersionMax="47" xr10:uidLastSave="{00000000-0000-0000-0000-000000000000}"/>
  <bookViews>
    <workbookView xWindow="-120" yWindow="-120" windowWidth="20730" windowHeight="11040" activeTab="1" xr2:uid="{00000000-000D-0000-FFFF-FFFF00000000}"/>
  </bookViews>
  <sheets>
    <sheet name="注意事項" sheetId="6" r:id="rId1"/>
    <sheet name="個人種目申込一覧表" sheetId="1" r:id="rId2"/>
    <sheet name="リレー申込票" sheetId="2" state="hidden" r:id="rId3"/>
  </sheets>
  <definedNames>
    <definedName name="_xlnm.Print_Area" localSheetId="2">リレー申込票!$A:$I</definedName>
    <definedName name="_xlnm.Print_Area" localSheetId="1">個人種目申込一覧表!$A:$J</definedName>
    <definedName name="リレークラス">リレー申込票!$S$6:$AA$6</definedName>
    <definedName name="高校女子">個人種目申込一覧表!$AN$13:$AN$19</definedName>
    <definedName name="高校男子">個人種目申込一覧表!$AM$13:$AM$19</definedName>
    <definedName name="女子">個人種目申込一覧表!$AL$13:$AL$19</definedName>
    <definedName name="小女4_6年">個人種目申込一覧表!$AR$13:$AR$14</definedName>
    <definedName name="小男4_6年">個人種目申込一覧表!$AQ$13:$AQ$14</definedName>
    <definedName name="性">個人種目申込一覧表!$AK$12:$AR$12</definedName>
    <definedName name="男子">個人種目申込一覧表!$AK$13:$AK$19</definedName>
    <definedName name="中学女子">個人種目申込一覧表!$AP$13:$AP$20</definedName>
    <definedName name="中学男子">個人種目申込一覧表!$AO$13:$AO$20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13" i="1" l="1"/>
  <c r="Z111" i="1"/>
  <c r="Z109" i="1"/>
  <c r="Z107" i="1"/>
  <c r="Z105" i="1"/>
  <c r="Z103" i="1"/>
  <c r="Z101" i="1"/>
  <c r="Z99" i="1"/>
  <c r="Z97" i="1"/>
  <c r="Z95" i="1"/>
  <c r="Z93" i="1"/>
  <c r="Z91" i="1"/>
  <c r="Z89" i="1"/>
  <c r="Z87" i="1"/>
  <c r="Z85" i="1"/>
  <c r="Z83" i="1"/>
  <c r="Z81" i="1"/>
  <c r="Z79" i="1"/>
  <c r="Z77" i="1"/>
  <c r="Z75" i="1"/>
  <c r="Z73" i="1"/>
  <c r="Z71" i="1"/>
  <c r="Z69" i="1"/>
  <c r="Z67" i="1"/>
  <c r="Z65" i="1"/>
  <c r="Z63" i="1"/>
  <c r="Z61" i="1"/>
  <c r="Z59" i="1"/>
  <c r="Z57" i="1"/>
  <c r="Z55" i="1"/>
  <c r="Z53" i="1"/>
  <c r="Z51" i="1"/>
  <c r="Z49" i="1"/>
  <c r="Z47" i="1"/>
  <c r="Z45" i="1"/>
  <c r="Z43" i="1"/>
  <c r="Z41" i="1"/>
  <c r="Z39" i="1"/>
  <c r="Z37" i="1"/>
  <c r="Z35" i="1"/>
  <c r="Z33" i="1"/>
  <c r="Z31" i="1"/>
  <c r="Z29" i="1"/>
  <c r="Z27" i="1"/>
  <c r="Z25" i="1"/>
  <c r="Z23" i="1"/>
  <c r="Z21" i="1"/>
  <c r="Z19" i="1"/>
  <c r="Z17" i="1"/>
  <c r="Z15" i="1"/>
  <c r="X28" i="2"/>
  <c r="W28" i="2"/>
  <c r="X23" i="2"/>
  <c r="W23" i="2"/>
  <c r="X18" i="2"/>
  <c r="W18" i="2"/>
  <c r="X13" i="2"/>
  <c r="W13" i="2"/>
  <c r="R26" i="2" l="1"/>
  <c r="R21" i="2"/>
  <c r="S21" i="2" s="1"/>
  <c r="R16" i="2"/>
  <c r="S16" i="2" s="1"/>
  <c r="R11" i="2"/>
  <c r="X38" i="2"/>
  <c r="Z38" i="2" s="1"/>
  <c r="W38" i="2"/>
  <c r="Y38" i="2" s="1"/>
  <c r="X33" i="2"/>
  <c r="W33" i="2"/>
  <c r="AA38" i="2" l="1"/>
  <c r="Z33" i="2"/>
  <c r="Y33" i="2"/>
  <c r="AA33" i="2" l="1"/>
  <c r="J113" i="1" l="1"/>
  <c r="J111" i="1"/>
  <c r="J109" i="1"/>
  <c r="J107" i="1"/>
  <c r="J105" i="1"/>
  <c r="J103" i="1"/>
  <c r="J101" i="1"/>
  <c r="J99" i="1"/>
  <c r="J97" i="1"/>
  <c r="J95" i="1"/>
  <c r="J93" i="1"/>
  <c r="J91" i="1"/>
  <c r="J89" i="1"/>
  <c r="J87" i="1"/>
  <c r="J85" i="1"/>
  <c r="J83" i="1"/>
  <c r="J81" i="1"/>
  <c r="J79" i="1"/>
  <c r="J77" i="1"/>
  <c r="J75" i="1"/>
  <c r="J73" i="1"/>
  <c r="J71" i="1"/>
  <c r="J69" i="1"/>
  <c r="J67" i="1"/>
  <c r="J65" i="1"/>
  <c r="J63" i="1"/>
  <c r="J61" i="1"/>
  <c r="J59" i="1"/>
  <c r="J57" i="1"/>
  <c r="J55" i="1"/>
  <c r="J53" i="1"/>
  <c r="J51" i="1"/>
  <c r="J49" i="1"/>
  <c r="J47" i="1"/>
  <c r="J45" i="1"/>
  <c r="J43" i="1"/>
  <c r="J41" i="1"/>
  <c r="J39" i="1"/>
  <c r="J37" i="1"/>
  <c r="J35" i="1"/>
  <c r="J33" i="1"/>
  <c r="J31" i="1"/>
  <c r="J29" i="1"/>
  <c r="J27" i="1"/>
  <c r="J25" i="1"/>
  <c r="J23" i="1"/>
  <c r="J21" i="1"/>
  <c r="J19" i="1"/>
  <c r="J17" i="1"/>
  <c r="J15" i="1"/>
  <c r="R5" i="2" l="1"/>
  <c r="S5" i="2" s="1"/>
  <c r="V36" i="2"/>
  <c r="R36" i="2"/>
  <c r="S36" i="2" s="1"/>
  <c r="V31" i="2"/>
  <c r="R31" i="2"/>
  <c r="S31" i="2" s="1"/>
  <c r="O27" i="2"/>
  <c r="M27" i="2"/>
  <c r="K27" i="2"/>
  <c r="O25" i="2"/>
  <c r="M25" i="2"/>
  <c r="K25" i="2"/>
  <c r="O22" i="2"/>
  <c r="M22" i="2"/>
  <c r="K22" i="2"/>
  <c r="O20" i="2"/>
  <c r="M20" i="2"/>
  <c r="K20" i="2"/>
  <c r="O17" i="2"/>
  <c r="M17" i="2"/>
  <c r="K17" i="2"/>
  <c r="O15" i="2"/>
  <c r="M15" i="2"/>
  <c r="K15" i="2"/>
  <c r="O12" i="2"/>
  <c r="M12" i="2"/>
  <c r="K12" i="2"/>
  <c r="O10" i="2"/>
  <c r="M10" i="2"/>
  <c r="K10" i="2"/>
  <c r="J30" i="2"/>
  <c r="J35" i="2"/>
  <c r="J40" i="2"/>
  <c r="J45" i="2"/>
  <c r="J50" i="2"/>
  <c r="J55" i="2"/>
  <c r="J60" i="2"/>
  <c r="J65" i="2"/>
  <c r="AE45" i="2"/>
  <c r="AE44" i="2"/>
  <c r="AE43" i="2"/>
  <c r="AE42" i="2"/>
  <c r="AE41" i="2"/>
  <c r="AE40" i="2"/>
  <c r="AE39" i="2"/>
  <c r="AE38" i="2"/>
  <c r="AE37" i="2"/>
  <c r="AE36" i="2"/>
  <c r="AE35" i="2"/>
  <c r="AE34" i="2"/>
  <c r="AE33" i="2"/>
  <c r="AE32" i="2"/>
  <c r="AE31" i="2"/>
  <c r="AE30" i="2"/>
  <c r="AE29" i="2"/>
  <c r="AE28" i="2"/>
  <c r="AE27" i="2"/>
  <c r="AE26" i="2"/>
  <c r="AE25" i="2"/>
  <c r="AE24" i="2"/>
  <c r="AE23" i="2"/>
  <c r="AE22" i="2"/>
  <c r="AE21" i="2"/>
  <c r="AE20" i="2"/>
  <c r="AE19" i="2"/>
  <c r="AE18" i="2"/>
  <c r="AE17" i="2"/>
  <c r="AE16" i="2"/>
  <c r="AE15" i="2"/>
  <c r="AE14" i="2"/>
  <c r="AE13" i="2"/>
  <c r="AE12" i="2"/>
  <c r="AE11" i="2"/>
  <c r="AE10" i="2"/>
  <c r="AD113" i="1"/>
  <c r="AG59" i="2" s="1"/>
  <c r="AA113" i="1"/>
  <c r="AB113" i="1" s="1"/>
  <c r="AD111" i="1"/>
  <c r="AE111" i="1" s="1"/>
  <c r="AA111" i="1"/>
  <c r="AB111" i="1" s="1"/>
  <c r="AD109" i="1"/>
  <c r="AG57" i="2" s="1"/>
  <c r="AA109" i="1"/>
  <c r="AB109" i="1" s="1"/>
  <c r="AD107" i="1"/>
  <c r="AE107" i="1" s="1"/>
  <c r="AA107" i="1"/>
  <c r="AB107" i="1" s="1"/>
  <c r="AD105" i="1"/>
  <c r="AG55" i="2" s="1"/>
  <c r="AA105" i="1"/>
  <c r="AB105" i="1" s="1"/>
  <c r="AD103" i="1"/>
  <c r="AE103" i="1" s="1"/>
  <c r="AA103" i="1"/>
  <c r="AB103" i="1" s="1"/>
  <c r="AD101" i="1"/>
  <c r="AE101" i="1" s="1"/>
  <c r="AA101" i="1"/>
  <c r="AB101" i="1" s="1"/>
  <c r="AD99" i="1"/>
  <c r="AG52" i="2" s="1"/>
  <c r="AF52" i="2" s="1"/>
  <c r="AA99" i="1"/>
  <c r="AB99" i="1" s="1"/>
  <c r="AD97" i="1"/>
  <c r="AE97" i="1" s="1"/>
  <c r="AA97" i="1"/>
  <c r="AB97" i="1" s="1"/>
  <c r="AD95" i="1"/>
  <c r="AG50" i="2" s="1"/>
  <c r="AF50" i="2" s="1"/>
  <c r="AA95" i="1"/>
  <c r="AB95" i="1" s="1"/>
  <c r="AD93" i="1"/>
  <c r="AE93" i="1" s="1"/>
  <c r="AA93" i="1"/>
  <c r="AB93" i="1" s="1"/>
  <c r="AD91" i="1"/>
  <c r="AE91" i="1" s="1"/>
  <c r="AA91" i="1"/>
  <c r="AB91" i="1" s="1"/>
  <c r="AD89" i="1"/>
  <c r="AG47" i="2" s="1"/>
  <c r="AF47" i="2" s="1"/>
  <c r="AA89" i="1"/>
  <c r="AB89" i="1" s="1"/>
  <c r="AD87" i="1"/>
  <c r="AG46" i="2" s="1"/>
  <c r="AA87" i="1"/>
  <c r="AB87" i="1" s="1"/>
  <c r="AD85" i="1"/>
  <c r="AG45" i="2" s="1"/>
  <c r="AF45" i="2" s="1"/>
  <c r="AH45" i="2" s="1"/>
  <c r="AA85" i="1"/>
  <c r="AB85" i="1" s="1"/>
  <c r="AD83" i="1"/>
  <c r="AG44" i="2" s="1"/>
  <c r="AA83" i="1"/>
  <c r="AB83" i="1" s="1"/>
  <c r="AD81" i="1"/>
  <c r="AG43" i="2" s="1"/>
  <c r="AF43" i="2" s="1"/>
  <c r="AA81" i="1"/>
  <c r="AB81" i="1" s="1"/>
  <c r="AD79" i="1"/>
  <c r="AG42" i="2" s="1"/>
  <c r="AF42" i="2" s="1"/>
  <c r="AA79" i="1"/>
  <c r="AB79" i="1" s="1"/>
  <c r="AD77" i="1"/>
  <c r="AG41" i="2" s="1"/>
  <c r="AF41" i="2" s="1"/>
  <c r="AH41" i="2" s="1"/>
  <c r="AA77" i="1"/>
  <c r="AB77" i="1" s="1"/>
  <c r="AD75" i="1"/>
  <c r="AG40" i="2" s="1"/>
  <c r="AF40" i="2" s="1"/>
  <c r="AH40" i="2" s="1"/>
  <c r="AA75" i="1"/>
  <c r="AB75" i="1" s="1"/>
  <c r="AD73" i="1"/>
  <c r="AG39" i="2" s="1"/>
  <c r="AA73" i="1"/>
  <c r="AB73" i="1" s="1"/>
  <c r="AD71" i="1"/>
  <c r="AE71" i="1" s="1"/>
  <c r="AA71" i="1"/>
  <c r="AB71" i="1" s="1"/>
  <c r="AD69" i="1"/>
  <c r="AE69" i="1" s="1"/>
  <c r="AA69" i="1"/>
  <c r="AB69" i="1" s="1"/>
  <c r="AD67" i="1"/>
  <c r="AE67" i="1" s="1"/>
  <c r="AA67" i="1"/>
  <c r="AB67" i="1" s="1"/>
  <c r="AD65" i="1"/>
  <c r="AG35" i="2" s="1"/>
  <c r="AF35" i="2" s="1"/>
  <c r="AH35" i="2" s="1"/>
  <c r="AA65" i="1"/>
  <c r="AB65" i="1" s="1"/>
  <c r="AD63" i="1"/>
  <c r="AG34" i="2" s="1"/>
  <c r="AA63" i="1"/>
  <c r="AB63" i="1" s="1"/>
  <c r="AD61" i="1"/>
  <c r="AE61" i="1" s="1"/>
  <c r="AA61" i="1"/>
  <c r="AB61" i="1" s="1"/>
  <c r="AD59" i="1"/>
  <c r="AG32" i="2" s="1"/>
  <c r="AF32" i="2" s="1"/>
  <c r="AH32" i="2" s="1"/>
  <c r="AA59" i="1"/>
  <c r="AB59" i="1" s="1"/>
  <c r="AD57" i="1"/>
  <c r="AG31" i="2" s="1"/>
  <c r="AA57" i="1"/>
  <c r="AB57" i="1" s="1"/>
  <c r="AD55" i="1"/>
  <c r="AE55" i="1" s="1"/>
  <c r="AA55" i="1"/>
  <c r="AB55" i="1" s="1"/>
  <c r="AD53" i="1"/>
  <c r="AG29" i="2" s="1"/>
  <c r="AA53" i="1"/>
  <c r="AB53" i="1" s="1"/>
  <c r="AD51" i="1"/>
  <c r="AG28" i="2" s="1"/>
  <c r="AA51" i="1"/>
  <c r="AB51" i="1" s="1"/>
  <c r="AD49" i="1"/>
  <c r="AG27" i="2" s="1"/>
  <c r="AA49" i="1"/>
  <c r="AB49" i="1" s="1"/>
  <c r="AD47" i="1"/>
  <c r="AG26" i="2" s="1"/>
  <c r="AF26" i="2" s="1"/>
  <c r="AH26" i="2" s="1"/>
  <c r="AA47" i="1"/>
  <c r="AB47" i="1" s="1"/>
  <c r="AD45" i="1"/>
  <c r="AG25" i="2" s="1"/>
  <c r="AF25" i="2" s="1"/>
  <c r="AH25" i="2" s="1"/>
  <c r="AA45" i="1"/>
  <c r="AB45" i="1" s="1"/>
  <c r="AD43" i="1"/>
  <c r="AE43" i="1" s="1"/>
  <c r="AA43" i="1"/>
  <c r="AB43" i="1" s="1"/>
  <c r="AD41" i="1"/>
  <c r="AG23" i="2" s="1"/>
  <c r="AF23" i="2" s="1"/>
  <c r="AA41" i="1"/>
  <c r="AB41" i="1" s="1"/>
  <c r="AD39" i="1"/>
  <c r="AG22" i="2" s="1"/>
  <c r="AF22" i="2" s="1"/>
  <c r="AD15" i="1"/>
  <c r="AD17" i="1"/>
  <c r="AG11" i="2" s="1"/>
  <c r="AF11" i="2" s="1"/>
  <c r="AD19" i="1"/>
  <c r="AG12" i="2" s="1"/>
  <c r="AF12" i="2" s="1"/>
  <c r="AH12" i="2" s="1"/>
  <c r="AD21" i="1"/>
  <c r="AE21" i="1" s="1"/>
  <c r="AD23" i="1"/>
  <c r="AE23" i="1" s="1"/>
  <c r="AD25" i="1"/>
  <c r="AG15" i="2" s="1"/>
  <c r="AD27" i="1"/>
  <c r="AG16" i="2" s="1"/>
  <c r="AF16" i="2" s="1"/>
  <c r="AD29" i="1"/>
  <c r="AE29" i="1" s="1"/>
  <c r="AD31" i="1"/>
  <c r="AE31" i="1" s="1"/>
  <c r="AD33" i="1"/>
  <c r="AG19" i="2" s="1"/>
  <c r="AD35" i="1"/>
  <c r="AE35" i="1" s="1"/>
  <c r="AD37" i="1"/>
  <c r="AG21" i="2" s="1"/>
  <c r="AF21" i="2" s="1"/>
  <c r="AH21" i="2" s="1"/>
  <c r="AA39" i="1"/>
  <c r="AB39" i="1" s="1"/>
  <c r="AA37" i="1"/>
  <c r="AB37" i="1" s="1"/>
  <c r="AA35" i="1"/>
  <c r="AB35" i="1" s="1"/>
  <c r="AA33" i="1"/>
  <c r="AB33" i="1" s="1"/>
  <c r="AA31" i="1"/>
  <c r="AB31" i="1" s="1"/>
  <c r="AA15" i="1"/>
  <c r="AA17" i="1"/>
  <c r="AB17" i="1" s="1"/>
  <c r="AA19" i="1"/>
  <c r="AB19" i="1" s="1"/>
  <c r="AA21" i="1"/>
  <c r="AB21" i="1" s="1"/>
  <c r="AA23" i="1"/>
  <c r="AB23" i="1" s="1"/>
  <c r="AA25" i="1"/>
  <c r="AB25" i="1" s="1"/>
  <c r="AA27" i="1"/>
  <c r="AB27" i="1" s="1"/>
  <c r="AA29" i="1"/>
  <c r="AV113" i="1"/>
  <c r="AU113" i="1"/>
  <c r="AV111" i="1"/>
  <c r="AU111" i="1"/>
  <c r="AV109" i="1"/>
  <c r="AU109" i="1"/>
  <c r="AV107" i="1"/>
  <c r="AU107" i="1"/>
  <c r="AV105" i="1"/>
  <c r="AU105" i="1"/>
  <c r="AV103" i="1"/>
  <c r="AU103" i="1"/>
  <c r="AV101" i="1"/>
  <c r="AU101" i="1"/>
  <c r="AV99" i="1"/>
  <c r="AU99" i="1"/>
  <c r="AV97" i="1"/>
  <c r="AU97" i="1"/>
  <c r="AV95" i="1"/>
  <c r="AU95" i="1"/>
  <c r="AV93" i="1"/>
  <c r="AU93" i="1"/>
  <c r="AV91" i="1"/>
  <c r="AU91" i="1"/>
  <c r="AV89" i="1"/>
  <c r="AU89" i="1"/>
  <c r="AV87" i="1"/>
  <c r="AU87" i="1"/>
  <c r="AV85" i="1"/>
  <c r="AU85" i="1"/>
  <c r="AV83" i="1"/>
  <c r="AU83" i="1"/>
  <c r="AV81" i="1"/>
  <c r="AU81" i="1"/>
  <c r="AV79" i="1"/>
  <c r="AU79" i="1"/>
  <c r="AV77" i="1"/>
  <c r="AU77" i="1"/>
  <c r="AV75" i="1"/>
  <c r="AU75" i="1"/>
  <c r="AV73" i="1"/>
  <c r="AU73" i="1"/>
  <c r="AV71" i="1"/>
  <c r="AU71" i="1"/>
  <c r="AV69" i="1"/>
  <c r="AU69" i="1"/>
  <c r="AV67" i="1"/>
  <c r="AU67" i="1"/>
  <c r="AV65" i="1"/>
  <c r="AU65" i="1"/>
  <c r="AV63" i="1"/>
  <c r="AU63" i="1"/>
  <c r="AV61" i="1"/>
  <c r="AU61" i="1"/>
  <c r="AV59" i="1"/>
  <c r="AU59" i="1"/>
  <c r="AV57" i="1"/>
  <c r="AU57" i="1"/>
  <c r="AV55" i="1"/>
  <c r="AU55" i="1"/>
  <c r="AV53" i="1"/>
  <c r="AU53" i="1"/>
  <c r="AV51" i="1"/>
  <c r="AU51" i="1"/>
  <c r="AV49" i="1"/>
  <c r="AU49" i="1"/>
  <c r="AV47" i="1"/>
  <c r="AU47" i="1"/>
  <c r="AV45" i="1"/>
  <c r="AU45" i="1"/>
  <c r="AV43" i="1"/>
  <c r="AU43" i="1"/>
  <c r="AV41" i="1"/>
  <c r="AU41" i="1"/>
  <c r="AV39" i="1"/>
  <c r="AU39" i="1"/>
  <c r="AV37" i="1"/>
  <c r="AU37" i="1"/>
  <c r="AV35" i="1"/>
  <c r="AU35" i="1"/>
  <c r="AV33" i="1"/>
  <c r="AU33" i="1"/>
  <c r="AV31" i="1"/>
  <c r="AU31" i="1"/>
  <c r="AV29" i="1"/>
  <c r="AU29" i="1"/>
  <c r="AV27" i="1"/>
  <c r="AU27" i="1"/>
  <c r="AV25" i="1"/>
  <c r="AU25" i="1"/>
  <c r="AV23" i="1"/>
  <c r="AU23" i="1"/>
  <c r="AV21" i="1"/>
  <c r="AU21" i="1"/>
  <c r="AV19" i="1"/>
  <c r="AU19" i="1"/>
  <c r="AV17" i="1"/>
  <c r="AU13" i="1"/>
  <c r="AV13" i="1"/>
  <c r="AU15" i="1"/>
  <c r="AV15" i="1"/>
  <c r="AU17" i="1"/>
  <c r="B1" i="2"/>
  <c r="G6" i="2"/>
  <c r="I6" i="2" s="1"/>
  <c r="H9" i="1" s="1"/>
  <c r="C6" i="2"/>
  <c r="E9" i="1"/>
  <c r="A16" i="1"/>
  <c r="A36" i="1"/>
  <c r="A56" i="1"/>
  <c r="A76" i="1"/>
  <c r="A96" i="1"/>
  <c r="A15" i="1"/>
  <c r="A35" i="1"/>
  <c r="A55" i="1"/>
  <c r="A75" i="1"/>
  <c r="A95" i="1"/>
  <c r="Q10" i="2"/>
  <c r="Q15" i="2"/>
  <c r="Q20" i="2"/>
  <c r="Q25" i="2"/>
  <c r="N13" i="1" l="1"/>
  <c r="BI13" i="1" s="1"/>
  <c r="AM13" i="1" s="1"/>
  <c r="S17" i="1"/>
  <c r="BN17" i="1" s="1"/>
  <c r="AR14" i="1" s="1"/>
  <c r="S26" i="2"/>
  <c r="AG54" i="2"/>
  <c r="AF54" i="2" s="1"/>
  <c r="AH54" i="2" s="1"/>
  <c r="AE47" i="1"/>
  <c r="AF47" i="1" s="1"/>
  <c r="AF48" i="1" s="1"/>
  <c r="AE41" i="1"/>
  <c r="AF41" i="1" s="1"/>
  <c r="AF42" i="1" s="1"/>
  <c r="AG36" i="2"/>
  <c r="AF36" i="2" s="1"/>
  <c r="AH36" i="2" s="1"/>
  <c r="AE99" i="1"/>
  <c r="AG51" i="2"/>
  <c r="AF51" i="2" s="1"/>
  <c r="AE37" i="1"/>
  <c r="AF37" i="1" s="1"/>
  <c r="AF38" i="1" s="1"/>
  <c r="AG17" i="2"/>
  <c r="AE77" i="1"/>
  <c r="AF77" i="1" s="1"/>
  <c r="AF78" i="1" s="1"/>
  <c r="AG30" i="2"/>
  <c r="AF30" i="2" s="1"/>
  <c r="AH30" i="2" s="1"/>
  <c r="AG53" i="2"/>
  <c r="AF53" i="2" s="1"/>
  <c r="AH53" i="2" s="1"/>
  <c r="AE63" i="1"/>
  <c r="AF63" i="1" s="1"/>
  <c r="AF64" i="1" s="1"/>
  <c r="AE27" i="1"/>
  <c r="AF27" i="1" s="1"/>
  <c r="AF28" i="1" s="1"/>
  <c r="AE95" i="1"/>
  <c r="AF95" i="1" s="1"/>
  <c r="AF96" i="1" s="1"/>
  <c r="AG24" i="2"/>
  <c r="AF24" i="2" s="1"/>
  <c r="AG18" i="2"/>
  <c r="AF18" i="2" s="1"/>
  <c r="AH18" i="2" s="1"/>
  <c r="L24" i="1"/>
  <c r="BG24" i="1" s="1"/>
  <c r="AK18" i="1" s="1"/>
  <c r="L20" i="1"/>
  <c r="BG20" i="1" s="1"/>
  <c r="AK16" i="1" s="1"/>
  <c r="AE105" i="1"/>
  <c r="AF105" i="1" s="1"/>
  <c r="AF106" i="1" s="1"/>
  <c r="N16" i="1"/>
  <c r="BI16" i="1" s="1"/>
  <c r="AM15" i="1" s="1"/>
  <c r="AE83" i="1"/>
  <c r="AE65" i="1"/>
  <c r="AF65" i="1" s="1"/>
  <c r="AF66" i="1" s="1"/>
  <c r="R13" i="1"/>
  <c r="BM13" i="1" s="1"/>
  <c r="AQ13" i="1" s="1"/>
  <c r="Q13" i="1"/>
  <c r="BL13" i="1" s="1"/>
  <c r="AP13" i="1" s="1"/>
  <c r="AG13" i="2"/>
  <c r="AF13" i="2" s="1"/>
  <c r="AG14" i="2"/>
  <c r="AF14" i="2" s="1"/>
  <c r="AF67" i="1"/>
  <c r="AF68" i="1" s="1"/>
  <c r="Q14" i="1"/>
  <c r="BL14" i="1" s="1"/>
  <c r="AP14" i="1" s="1"/>
  <c r="S13" i="1"/>
  <c r="BN13" i="1" s="1"/>
  <c r="AR13" i="1" s="1"/>
  <c r="R17" i="1"/>
  <c r="BM17" i="1" s="1"/>
  <c r="AQ14" i="1" s="1"/>
  <c r="AH43" i="2"/>
  <c r="AE75" i="1"/>
  <c r="AF75" i="1" s="1"/>
  <c r="AF76" i="1" s="1"/>
  <c r="O13" i="1"/>
  <c r="BJ13" i="1" s="1"/>
  <c r="AN13" i="1" s="1"/>
  <c r="L16" i="1"/>
  <c r="BG16" i="1" s="1"/>
  <c r="AK15" i="1" s="1"/>
  <c r="AG10" i="2"/>
  <c r="AF10" i="2" s="1"/>
  <c r="AE15" i="1"/>
  <c r="AF15" i="1" s="1"/>
  <c r="AF16" i="1" s="1"/>
  <c r="AF43" i="1"/>
  <c r="AF44" i="1" s="1"/>
  <c r="AF97" i="1"/>
  <c r="AF98" i="1" s="1"/>
  <c r="AF29" i="1"/>
  <c r="AF30" i="1" s="1"/>
  <c r="AF103" i="1"/>
  <c r="AF104" i="1" s="1"/>
  <c r="AF91" i="1"/>
  <c r="AF92" i="1" s="1"/>
  <c r="AF101" i="1"/>
  <c r="AF102" i="1" s="1"/>
  <c r="AF31" i="1"/>
  <c r="AF32" i="1" s="1"/>
  <c r="AH52" i="2"/>
  <c r="AF29" i="2"/>
  <c r="AH29" i="2" s="1"/>
  <c r="AG48" i="2"/>
  <c r="AF48" i="2" s="1"/>
  <c r="AH48" i="2" s="1"/>
  <c r="AE87" i="1"/>
  <c r="AF87" i="1" s="1"/>
  <c r="AF88" i="1" s="1"/>
  <c r="AE17" i="1"/>
  <c r="AF17" i="1" s="1"/>
  <c r="AF18" i="1" s="1"/>
  <c r="AE53" i="1"/>
  <c r="AF53" i="1" s="1"/>
  <c r="AF54" i="1" s="1"/>
  <c r="AC21" i="1"/>
  <c r="AG37" i="2"/>
  <c r="AF37" i="2" s="1"/>
  <c r="AH37" i="2" s="1"/>
  <c r="AE57" i="1"/>
  <c r="AF57" i="1" s="1"/>
  <c r="AF58" i="1" s="1"/>
  <c r="AE73" i="1"/>
  <c r="AE85" i="1"/>
  <c r="AF85" i="1" s="1"/>
  <c r="AF86" i="1" s="1"/>
  <c r="E6" i="2"/>
  <c r="AE79" i="1"/>
  <c r="AF79" i="1" s="1"/>
  <c r="AF80" i="1" s="1"/>
  <c r="AE59" i="1"/>
  <c r="AF59" i="1" s="1"/>
  <c r="AH16" i="2"/>
  <c r="AE113" i="1"/>
  <c r="AF113" i="1" s="1"/>
  <c r="AF23" i="1"/>
  <c r="AF24" i="1" s="1"/>
  <c r="AE89" i="1"/>
  <c r="AF89" i="1" s="1"/>
  <c r="AF90" i="1" s="1"/>
  <c r="AE81" i="1"/>
  <c r="AF81" i="1" s="1"/>
  <c r="AF82" i="1" s="1"/>
  <c r="AE49" i="1"/>
  <c r="AF49" i="1" s="1"/>
  <c r="AF50" i="1" s="1"/>
  <c r="AE45" i="1"/>
  <c r="AF45" i="1" s="1"/>
  <c r="AF46" i="1" s="1"/>
  <c r="B9" i="1"/>
  <c r="AF21" i="1"/>
  <c r="AF22" i="1" s="1"/>
  <c r="AG33" i="2"/>
  <c r="AF33" i="2" s="1"/>
  <c r="AG49" i="2"/>
  <c r="AF49" i="2" s="1"/>
  <c r="AH49" i="2" s="1"/>
  <c r="AE109" i="1"/>
  <c r="AF109" i="1" s="1"/>
  <c r="AF110" i="1" s="1"/>
  <c r="AE51" i="1"/>
  <c r="AF51" i="1" s="1"/>
  <c r="AF52" i="1" s="1"/>
  <c r="L13" i="1"/>
  <c r="BG13" i="1" s="1"/>
  <c r="AK13" i="1" s="1"/>
  <c r="AB15" i="1"/>
  <c r="AC15" i="1" s="1"/>
  <c r="Q25" i="1"/>
  <c r="BL25" i="1" s="1"/>
  <c r="AP20" i="1" s="1"/>
  <c r="L23" i="1"/>
  <c r="BG23" i="1" s="1"/>
  <c r="AK17" i="1" s="1"/>
  <c r="M13" i="1"/>
  <c r="BH13" i="1" s="1"/>
  <c r="AL13" i="1" s="1"/>
  <c r="AC61" i="1"/>
  <c r="O23" i="1"/>
  <c r="BJ23" i="1" s="1"/>
  <c r="AN17" i="1" s="1"/>
  <c r="O16" i="1"/>
  <c r="BJ16" i="1" s="1"/>
  <c r="AN15" i="1" s="1"/>
  <c r="P26" i="1"/>
  <c r="BK26" i="1" s="1"/>
  <c r="AO20" i="1" s="1"/>
  <c r="N20" i="1"/>
  <c r="BI20" i="1" s="1"/>
  <c r="AM16" i="1" s="1"/>
  <c r="Q21" i="1"/>
  <c r="BL21" i="1" s="1"/>
  <c r="AP17" i="1" s="1"/>
  <c r="M27" i="1"/>
  <c r="BH27" i="1" s="1"/>
  <c r="AL19" i="1" s="1"/>
  <c r="P22" i="1"/>
  <c r="BK22" i="1" s="1"/>
  <c r="AO17" i="1" s="1"/>
  <c r="P15" i="1"/>
  <c r="BK15" i="1" s="1"/>
  <c r="AO14" i="1" s="1"/>
  <c r="L15" i="1"/>
  <c r="BG15" i="1" s="1"/>
  <c r="AK14" i="1" s="1"/>
  <c r="P13" i="1"/>
  <c r="BK13" i="1" s="1"/>
  <c r="AO13" i="1" s="1"/>
  <c r="M19" i="1"/>
  <c r="BH19" i="1" s="1"/>
  <c r="AL16" i="1" s="1"/>
  <c r="O24" i="1"/>
  <c r="BJ24" i="1" s="1"/>
  <c r="AN18" i="1" s="1"/>
  <c r="M23" i="1"/>
  <c r="BH23" i="1" s="1"/>
  <c r="AL17" i="1" s="1"/>
  <c r="AE19" i="1"/>
  <c r="AF19" i="1" s="1"/>
  <c r="AF20" i="1" s="1"/>
  <c r="N24" i="1"/>
  <c r="BI24" i="1" s="1"/>
  <c r="AM18" i="1" s="1"/>
  <c r="Q16" i="1"/>
  <c r="BL16" i="1" s="1"/>
  <c r="AP15" i="1" s="1"/>
  <c r="P19" i="1"/>
  <c r="BK19" i="1" s="1"/>
  <c r="AO16" i="1" s="1"/>
  <c r="N28" i="1"/>
  <c r="BI28" i="1" s="1"/>
  <c r="AM19" i="1" s="1"/>
  <c r="L28" i="1"/>
  <c r="BG28" i="1" s="1"/>
  <c r="AK19" i="1" s="1"/>
  <c r="Q23" i="1"/>
  <c r="BL23" i="1" s="1"/>
  <c r="AP18" i="1" s="1"/>
  <c r="N15" i="1"/>
  <c r="BI15" i="1" s="1"/>
  <c r="AM14" i="1" s="1"/>
  <c r="M24" i="1"/>
  <c r="BH24" i="1" s="1"/>
  <c r="AL18" i="1" s="1"/>
  <c r="M16" i="1"/>
  <c r="BH16" i="1" s="1"/>
  <c r="AL15" i="1" s="1"/>
  <c r="O19" i="1"/>
  <c r="BJ19" i="1" s="1"/>
  <c r="AN16" i="1" s="1"/>
  <c r="M14" i="1"/>
  <c r="BH14" i="1" s="1"/>
  <c r="AL14" i="1" s="1"/>
  <c r="O14" i="1"/>
  <c r="BJ14" i="1" s="1"/>
  <c r="AN14" i="1" s="1"/>
  <c r="Q19" i="1"/>
  <c r="BL19" i="1" s="1"/>
  <c r="AP16" i="1" s="1"/>
  <c r="P24" i="1"/>
  <c r="BK24" i="1" s="1"/>
  <c r="AO19" i="1" s="1"/>
  <c r="P23" i="1"/>
  <c r="BK23" i="1" s="1"/>
  <c r="AO18" i="1" s="1"/>
  <c r="Q24" i="1"/>
  <c r="BL24" i="1" s="1"/>
  <c r="AP19" i="1" s="1"/>
  <c r="P18" i="1"/>
  <c r="BK18" i="1" s="1"/>
  <c r="AO15" i="1" s="1"/>
  <c r="O27" i="1"/>
  <c r="BJ27" i="1" s="1"/>
  <c r="AN19" i="1" s="1"/>
  <c r="N23" i="1"/>
  <c r="BI23" i="1" s="1"/>
  <c r="AM17" i="1" s="1"/>
  <c r="AH11" i="2"/>
  <c r="AC17" i="1"/>
  <c r="AC19" i="1"/>
  <c r="AC73" i="1"/>
  <c r="AC103" i="1"/>
  <c r="AC53" i="1"/>
  <c r="AC57" i="1"/>
  <c r="AF61" i="1"/>
  <c r="AF62" i="1" s="1"/>
  <c r="AF93" i="1"/>
  <c r="AF94" i="1" s="1"/>
  <c r="AC27" i="1"/>
  <c r="AC105" i="1"/>
  <c r="AC43" i="1"/>
  <c r="AC75" i="1"/>
  <c r="AC91" i="1"/>
  <c r="AC69" i="1"/>
  <c r="AC109" i="1"/>
  <c r="AC25" i="1"/>
  <c r="AC95" i="1"/>
  <c r="AC41" i="1"/>
  <c r="AC23" i="1"/>
  <c r="AC107" i="1"/>
  <c r="AC39" i="1"/>
  <c r="AC71" i="1"/>
  <c r="AF107" i="1"/>
  <c r="AF108" i="1" s="1"/>
  <c r="AC31" i="1"/>
  <c r="AC35" i="1"/>
  <c r="AC45" i="1"/>
  <c r="AC51" i="1"/>
  <c r="AC67" i="1"/>
  <c r="AC83" i="1"/>
  <c r="AC99" i="1"/>
  <c r="AC85" i="1"/>
  <c r="AC101" i="1"/>
  <c r="AC37" i="1"/>
  <c r="AF15" i="2"/>
  <c r="AH15" i="2" s="1"/>
  <c r="AF28" i="2"/>
  <c r="AH28" i="2" s="1"/>
  <c r="AF44" i="2"/>
  <c r="AH44" i="2" s="1"/>
  <c r="AC89" i="1"/>
  <c r="AF57" i="2"/>
  <c r="AH57" i="2" s="1"/>
  <c r="AF34" i="2"/>
  <c r="AH34" i="2" s="1"/>
  <c r="AF111" i="1"/>
  <c r="AF112" i="1" s="1"/>
  <c r="AH22" i="2"/>
  <c r="AH47" i="2"/>
  <c r="C9" i="1"/>
  <c r="G9" i="1" s="1"/>
  <c r="I9" i="1" s="1"/>
  <c r="AF35" i="1"/>
  <c r="AF36" i="1" s="1"/>
  <c r="AC65" i="1"/>
  <c r="AC97" i="1"/>
  <c r="AF55" i="2"/>
  <c r="AH55" i="2" s="1"/>
  <c r="AC59" i="1"/>
  <c r="AF17" i="2"/>
  <c r="AH17" i="2" s="1"/>
  <c r="AF19" i="2"/>
  <c r="AH19" i="2" s="1"/>
  <c r="AC49" i="1"/>
  <c r="AF69" i="1"/>
  <c r="AF70" i="1" s="1"/>
  <c r="AC81" i="1"/>
  <c r="AC47" i="1"/>
  <c r="AC63" i="1"/>
  <c r="AF39" i="2"/>
  <c r="AH39" i="2" s="1"/>
  <c r="AH50" i="2"/>
  <c r="AC33" i="1"/>
  <c r="AF27" i="2"/>
  <c r="AH27" i="2" s="1"/>
  <c r="AF59" i="2"/>
  <c r="AH59" i="2" s="1"/>
  <c r="AC79" i="1"/>
  <c r="AF83" i="1"/>
  <c r="AF84" i="1" s="1"/>
  <c r="AF71" i="1"/>
  <c r="AF72" i="1" s="1"/>
  <c r="AC77" i="1"/>
  <c r="AF31" i="2"/>
  <c r="AH31" i="2" s="1"/>
  <c r="AH23" i="2"/>
  <c r="AC111" i="1"/>
  <c r="AF55" i="1"/>
  <c r="AF56" i="1" s="1"/>
  <c r="AF46" i="2"/>
  <c r="AH46" i="2" s="1"/>
  <c r="AB29" i="1"/>
  <c r="AG20" i="2"/>
  <c r="AE25" i="1"/>
  <c r="AE39" i="1"/>
  <c r="AG38" i="2"/>
  <c r="AG56" i="2"/>
  <c r="AG58" i="2"/>
  <c r="AC55" i="1"/>
  <c r="AC87" i="1"/>
  <c r="AC93" i="1"/>
  <c r="AH42" i="2"/>
  <c r="AC113" i="1"/>
  <c r="AF99" i="1"/>
  <c r="AF100" i="1" s="1"/>
  <c r="AE33" i="1"/>
  <c r="AG79" i="1" l="1"/>
  <c r="B79" i="1" s="1"/>
  <c r="AH51" i="2"/>
  <c r="AH24" i="2"/>
  <c r="AG15" i="1"/>
  <c r="B15" i="1" s="1"/>
  <c r="AG67" i="1"/>
  <c r="B67" i="1" s="1"/>
  <c r="AG21" i="1"/>
  <c r="B21" i="1" s="1"/>
  <c r="AH14" i="2"/>
  <c r="AH13" i="2"/>
  <c r="AG17" i="1"/>
  <c r="B17" i="1" s="1"/>
  <c r="AG97" i="1"/>
  <c r="B97" i="1" s="1"/>
  <c r="AG37" i="1"/>
  <c r="B37" i="1" s="1"/>
  <c r="AG23" i="1"/>
  <c r="B23" i="1" s="1"/>
  <c r="AG63" i="1"/>
  <c r="B63" i="1" s="1"/>
  <c r="AG89" i="1"/>
  <c r="B89" i="1" s="1"/>
  <c r="AG101" i="1"/>
  <c r="B101" i="1" s="1"/>
  <c r="AG57" i="1"/>
  <c r="B57" i="1" s="1"/>
  <c r="AG103" i="1"/>
  <c r="B103" i="1" s="1"/>
  <c r="AG95" i="1"/>
  <c r="B95" i="1" s="1"/>
  <c r="AG109" i="1"/>
  <c r="B109" i="1" s="1"/>
  <c r="AG45" i="1"/>
  <c r="B45" i="1" s="1"/>
  <c r="AG51" i="1"/>
  <c r="B51" i="1" s="1"/>
  <c r="AG77" i="1"/>
  <c r="B77" i="1" s="1"/>
  <c r="AG85" i="1"/>
  <c r="B85" i="1" s="1"/>
  <c r="AG49" i="1"/>
  <c r="B49" i="1" s="1"/>
  <c r="AG81" i="1"/>
  <c r="B81" i="1" s="1"/>
  <c r="AH33" i="2"/>
  <c r="AH10" i="2"/>
  <c r="AG91" i="1"/>
  <c r="B91" i="1" s="1"/>
  <c r="AG43" i="1"/>
  <c r="B43" i="1" s="1"/>
  <c r="AG31" i="1"/>
  <c r="B31" i="1" s="1"/>
  <c r="AG65" i="1"/>
  <c r="B65" i="1" s="1"/>
  <c r="AG19" i="1"/>
  <c r="B19" i="1" s="1"/>
  <c r="AF114" i="1"/>
  <c r="AG113" i="1" s="1"/>
  <c r="B113" i="1" s="1"/>
  <c r="AG75" i="1"/>
  <c r="B75" i="1" s="1"/>
  <c r="AG61" i="1"/>
  <c r="B61" i="1" s="1"/>
  <c r="AF73" i="1"/>
  <c r="AF74" i="1" s="1"/>
  <c r="AG73" i="1" s="1"/>
  <c r="B73" i="1" s="1"/>
  <c r="AF60" i="1"/>
  <c r="AG59" i="1" s="1"/>
  <c r="B59" i="1" s="1"/>
  <c r="AG71" i="1"/>
  <c r="B71" i="1" s="1"/>
  <c r="AG53" i="1"/>
  <c r="B53" i="1" s="1"/>
  <c r="AG27" i="1"/>
  <c r="B27" i="1" s="1"/>
  <c r="AG41" i="1"/>
  <c r="B41" i="1" s="1"/>
  <c r="AG87" i="1"/>
  <c r="B87" i="1" s="1"/>
  <c r="AG105" i="1"/>
  <c r="B105" i="1" s="1"/>
  <c r="AG107" i="1"/>
  <c r="B107" i="1" s="1"/>
  <c r="AG83" i="1"/>
  <c r="B83" i="1" s="1"/>
  <c r="AG69" i="1"/>
  <c r="B69" i="1" s="1"/>
  <c r="AG111" i="1"/>
  <c r="B111" i="1" s="1"/>
  <c r="AG55" i="1"/>
  <c r="B55" i="1" s="1"/>
  <c r="AG35" i="1"/>
  <c r="B35" i="1" s="1"/>
  <c r="AG99" i="1"/>
  <c r="B99" i="1" s="1"/>
  <c r="AG93" i="1"/>
  <c r="B93" i="1" s="1"/>
  <c r="AG47" i="1"/>
  <c r="B47" i="1" s="1"/>
  <c r="AF39" i="1"/>
  <c r="AF40" i="1" s="1"/>
  <c r="AG39" i="1" s="1"/>
  <c r="B39" i="1" s="1"/>
  <c r="AF20" i="2"/>
  <c r="AH20" i="2" s="1"/>
  <c r="AF58" i="2"/>
  <c r="AH58" i="2" s="1"/>
  <c r="AC29" i="1"/>
  <c r="AG29" i="1" s="1"/>
  <c r="B29" i="1" s="1"/>
  <c r="AF56" i="2"/>
  <c r="AH56" i="2" s="1"/>
  <c r="AF38" i="2"/>
  <c r="AH38" i="2" s="1"/>
  <c r="AF33" i="1"/>
  <c r="AF34" i="1" s="1"/>
  <c r="AG33" i="1" s="1"/>
  <c r="B33" i="1" s="1"/>
  <c r="AF25" i="1"/>
  <c r="AF26" i="1" s="1"/>
  <c r="AG25" i="1" s="1"/>
  <c r="B25" i="1" s="1"/>
  <c r="M11" i="1" l="1"/>
  <c r="T26" i="2"/>
  <c r="U26" i="2" s="1"/>
  <c r="T21" i="2"/>
  <c r="U21" i="2" s="1"/>
  <c r="T31" i="2"/>
  <c r="U31" i="2" s="1"/>
  <c r="T36" i="2"/>
  <c r="U36" i="2" s="1"/>
  <c r="Y28" i="2"/>
  <c r="T16" i="2"/>
  <c r="U16" i="2" s="1"/>
  <c r="S11" i="2"/>
  <c r="Z28" i="2" s="1"/>
  <c r="Z23" i="2" l="1"/>
  <c r="AA28" i="2"/>
  <c r="B28" i="2" s="1"/>
  <c r="V26" i="2" s="1"/>
  <c r="Z13" i="2"/>
  <c r="Y13" i="2"/>
  <c r="Y23" i="2"/>
  <c r="Y18" i="2"/>
  <c r="Z18" i="2"/>
  <c r="AA23" i="2" l="1"/>
  <c r="B23" i="2" s="1"/>
  <c r="V21" i="2" s="1"/>
  <c r="AA13" i="2"/>
  <c r="B13" i="2" s="1"/>
  <c r="AA18" i="2"/>
  <c r="B18" i="2" s="1"/>
  <c r="V16" i="2" s="1"/>
</calcChain>
</file>

<file path=xl/sharedStrings.xml><?xml version="1.0" encoding="utf-8"?>
<sst xmlns="http://schemas.openxmlformats.org/spreadsheetml/2006/main" count="523" uniqueCount="168">
  <si>
    <t>出場個人種目</t>
    <rPh sb="0" eb="2">
      <t>シュツジョウ</t>
    </rPh>
    <rPh sb="2" eb="4">
      <t>コジン</t>
    </rPh>
    <rPh sb="4" eb="6">
      <t>シュモク</t>
    </rPh>
    <phoneticPr fontId="3"/>
  </si>
  <si>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2"/>
  </si>
  <si>
    <t>申込人数/
種目数合計</t>
    <rPh sb="0" eb="2">
      <t>モウシコミ</t>
    </rPh>
    <rPh sb="2" eb="3">
      <t>ヒト</t>
    </rPh>
    <rPh sb="3" eb="4">
      <t>スウ</t>
    </rPh>
    <rPh sb="6" eb="8">
      <t>シュモク</t>
    </rPh>
    <rPh sb="8" eb="9">
      <t>スウ</t>
    </rPh>
    <rPh sb="9" eb="11">
      <t>ゴウケイ</t>
    </rPh>
    <phoneticPr fontId="3"/>
  </si>
  <si>
    <t>個人種目参加料</t>
    <rPh sb="0" eb="2">
      <t>コジン</t>
    </rPh>
    <rPh sb="2" eb="4">
      <t>シュモク</t>
    </rPh>
    <rPh sb="4" eb="6">
      <t>サンカ</t>
    </rPh>
    <rPh sb="6" eb="7">
      <t>リョウ</t>
    </rPh>
    <phoneticPr fontId="3"/>
  </si>
  <si>
    <t>リレー種目参加料</t>
    <rPh sb="3" eb="5">
      <t>シュモク</t>
    </rPh>
    <rPh sb="5" eb="7">
      <t>サンカ</t>
    </rPh>
    <rPh sb="7" eb="8">
      <t>リョウ</t>
    </rPh>
    <phoneticPr fontId="3"/>
  </si>
  <si>
    <t>参加料合計</t>
    <rPh sb="0" eb="2">
      <t>サンカ</t>
    </rPh>
    <rPh sb="2" eb="3">
      <t>リョウ</t>
    </rPh>
    <rPh sb="3" eb="5">
      <t>ゴウケイ</t>
    </rPh>
    <phoneticPr fontId="3"/>
  </si>
  <si>
    <t>個人種目申込一覧表／長野陸上競技協会</t>
    <rPh sb="0" eb="2">
      <t>コジン</t>
    </rPh>
    <rPh sb="2" eb="4">
      <t>シュモク</t>
    </rPh>
    <rPh sb="4" eb="6">
      <t>モウシコミ</t>
    </rPh>
    <rPh sb="6" eb="8">
      <t>イチラン</t>
    </rPh>
    <rPh sb="8" eb="9">
      <t>ヒョウ</t>
    </rPh>
    <rPh sb="10" eb="12">
      <t>ナガノ</t>
    </rPh>
    <rPh sb="12" eb="14">
      <t>リクジョウ</t>
    </rPh>
    <rPh sb="14" eb="16">
      <t>キョウギ</t>
    </rPh>
    <rPh sb="16" eb="18">
      <t>キョウカイ</t>
    </rPh>
    <phoneticPr fontId="3"/>
  </si>
  <si>
    <t>400m</t>
  </si>
  <si>
    <t>申　込
責任者</t>
    <rPh sb="0" eb="1">
      <t>サル</t>
    </rPh>
    <rPh sb="2" eb="3">
      <t>コミ</t>
    </rPh>
    <rPh sb="4" eb="7">
      <t>セキニンシャ</t>
    </rPh>
    <phoneticPr fontId="3"/>
  </si>
  <si>
    <t>氏名</t>
    <rPh sb="0" eb="2">
      <t>シメイ</t>
    </rPh>
    <phoneticPr fontId="3"/>
  </si>
  <si>
    <t>Ｎｏ．</t>
    <phoneticPr fontId="3"/>
  </si>
  <si>
    <t>性別
/ｸﾗｽ</t>
    <rPh sb="0" eb="2">
      <t>セイベツ</t>
    </rPh>
    <phoneticPr fontId="3"/>
  </si>
  <si>
    <t>学年</t>
    <rPh sb="0" eb="2">
      <t>ガクネン</t>
    </rPh>
    <phoneticPr fontId="3"/>
  </si>
  <si>
    <t>《実施個人種目一覧》</t>
    <rPh sb="1" eb="3">
      <t>ジッシ</t>
    </rPh>
    <rPh sb="3" eb="5">
      <t>コジン</t>
    </rPh>
    <rPh sb="5" eb="7">
      <t>シュモク</t>
    </rPh>
    <rPh sb="7" eb="9">
      <t>イチラン</t>
    </rPh>
    <phoneticPr fontId="3"/>
  </si>
  <si>
    <t>記入例</t>
    <rPh sb="0" eb="2">
      <t>キニュウ</t>
    </rPh>
    <rPh sb="2" eb="3">
      <t>レイ</t>
    </rPh>
    <phoneticPr fontId="3"/>
  </si>
  <si>
    <t>氏名
／下段（ｶﾅ）</t>
    <rPh sb="0" eb="2">
      <t>シメイ</t>
    </rPh>
    <rPh sb="4" eb="6">
      <t>カダン</t>
    </rPh>
    <phoneticPr fontId="2"/>
  </si>
  <si>
    <t>申込種目数</t>
    <rPh sb="0" eb="2">
      <t>モウシコミ</t>
    </rPh>
    <rPh sb="2" eb="4">
      <t>シュモク</t>
    </rPh>
    <rPh sb="4" eb="5">
      <t>スウ</t>
    </rPh>
    <phoneticPr fontId="2"/>
  </si>
  <si>
    <t>参加料合計</t>
    <rPh sb="0" eb="2">
      <t>サンカ</t>
    </rPh>
    <rPh sb="2" eb="3">
      <t>リョウ</t>
    </rPh>
    <rPh sb="3" eb="5">
      <t>ゴウケイ</t>
    </rPh>
    <phoneticPr fontId="2"/>
  </si>
  <si>
    <t>一般</t>
    <rPh sb="0" eb="2">
      <t>イッパン</t>
    </rPh>
    <phoneticPr fontId="2"/>
  </si>
  <si>
    <t>参加（のべ）人数</t>
    <rPh sb="0" eb="2">
      <t>サンカ</t>
    </rPh>
    <rPh sb="6" eb="8">
      <t>ニンズウ</t>
    </rPh>
    <phoneticPr fontId="2"/>
  </si>
  <si>
    <t>参加料</t>
    <rPh sb="0" eb="2">
      <t>サンカ</t>
    </rPh>
    <rPh sb="2" eb="3">
      <t>リョウ</t>
    </rPh>
    <phoneticPr fontId="2"/>
  </si>
  <si>
    <t>参考記録</t>
    <rPh sb="0" eb="2">
      <t>サンコウ</t>
    </rPh>
    <rPh sb="2" eb="4">
      <t>キロク</t>
    </rPh>
    <phoneticPr fontId="2"/>
  </si>
  <si>
    <t>性/クラス</t>
    <rPh sb="0" eb="1">
      <t>セイ</t>
    </rPh>
    <phoneticPr fontId="2"/>
  </si>
  <si>
    <t>種　　目</t>
    <rPh sb="0" eb="1">
      <t>シュ</t>
    </rPh>
    <rPh sb="3" eb="4">
      <t>メ</t>
    </rPh>
    <phoneticPr fontId="2"/>
  </si>
  <si>
    <t>チーム枝記号</t>
    <rPh sb="3" eb="4">
      <t>エダ</t>
    </rPh>
    <rPh sb="4" eb="6">
      <t>キゴウ</t>
    </rPh>
    <phoneticPr fontId="2"/>
  </si>
  <si>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3"/>
  </si>
  <si>
    <t>各競技会のエントリーは、エントリーファイルの送信（受付）と参加料の納付により、完了となります。</t>
    <rPh sb="0" eb="1">
      <t>カク</t>
    </rPh>
    <rPh sb="1" eb="4">
      <t>キョウギカイ</t>
    </rPh>
    <rPh sb="22" eb="24">
      <t>ソウシン</t>
    </rPh>
    <rPh sb="25" eb="27">
      <t>ウケツケ</t>
    </rPh>
    <rPh sb="29" eb="32">
      <t>サンカリョウ</t>
    </rPh>
    <rPh sb="33" eb="35">
      <t>ノウフ</t>
    </rPh>
    <rPh sb="39" eb="41">
      <t>カンリョウ</t>
    </rPh>
    <phoneticPr fontId="2"/>
  </si>
  <si>
    <t>何らかのトラブルにより、エントリーファイルの送受信が正常に完了していない場合でも、参加料の納付が規定</t>
    <rPh sb="0" eb="1">
      <t>ナン</t>
    </rPh>
    <rPh sb="22" eb="25">
      <t>ソウジュシン</t>
    </rPh>
    <rPh sb="26" eb="28">
      <t>セイジョウ</t>
    </rPh>
    <rPh sb="29" eb="31">
      <t>カンリョウ</t>
    </rPh>
    <rPh sb="36" eb="38">
      <t>バアイ</t>
    </rPh>
    <rPh sb="41" eb="44">
      <t>サンカリョウ</t>
    </rPh>
    <rPh sb="45" eb="47">
      <t>ノウフ</t>
    </rPh>
    <rPh sb="48" eb="50">
      <t>キテイ</t>
    </rPh>
    <phoneticPr fontId="2"/>
  </si>
  <si>
    <t>②エントリー種別（新規／訂正送信）を選択</t>
    <rPh sb="6" eb="8">
      <t>シュベツ</t>
    </rPh>
    <rPh sb="9" eb="11">
      <t>シンキ</t>
    </rPh>
    <rPh sb="12" eb="14">
      <t>テイセイ</t>
    </rPh>
    <rPh sb="14" eb="16">
      <t>ソウシン</t>
    </rPh>
    <rPh sb="18" eb="20">
      <t>センタク</t>
    </rPh>
    <phoneticPr fontId="2"/>
  </si>
  <si>
    <t>　</t>
    <phoneticPr fontId="2"/>
  </si>
  <si>
    <t>　※訂正・追加の場合は、訂正分・追加分だけでなく、改めて全データを入力したファイルを送信してください。</t>
    <rPh sb="2" eb="4">
      <t>テイセイ</t>
    </rPh>
    <rPh sb="5" eb="7">
      <t>ツイカ</t>
    </rPh>
    <rPh sb="8" eb="10">
      <t>バアイ</t>
    </rPh>
    <rPh sb="12" eb="14">
      <t>テイセイ</t>
    </rPh>
    <rPh sb="14" eb="15">
      <t>フン</t>
    </rPh>
    <rPh sb="16" eb="18">
      <t>ツイカ</t>
    </rPh>
    <rPh sb="18" eb="19">
      <t>フン</t>
    </rPh>
    <rPh sb="25" eb="26">
      <t>アラタ</t>
    </rPh>
    <rPh sb="28" eb="29">
      <t>ゼン</t>
    </rPh>
    <rPh sb="33" eb="35">
      <t>ニュウリョク</t>
    </rPh>
    <rPh sb="42" eb="44">
      <t>ソウシン</t>
    </rPh>
    <phoneticPr fontId="2"/>
  </si>
  <si>
    <t>③申込責任者氏名／所属団体名を入力</t>
    <rPh sb="1" eb="3">
      <t>モウシコミ</t>
    </rPh>
    <rPh sb="3" eb="6">
      <t>セキニンシャ</t>
    </rPh>
    <rPh sb="6" eb="8">
      <t>シメイ</t>
    </rPh>
    <rPh sb="9" eb="11">
      <t>ショゾク</t>
    </rPh>
    <rPh sb="11" eb="13">
      <t>ダンタイ</t>
    </rPh>
    <rPh sb="13" eb="14">
      <t>ナ</t>
    </rPh>
    <rPh sb="15" eb="17">
      <t>ニュウリョク</t>
    </rPh>
    <phoneticPr fontId="2"/>
  </si>
  <si>
    <t>　※参加料納付（送金）にも必ず共通の氏名／団体名を使用してください。共通でないものを使用した場合、入金</t>
    <rPh sb="2" eb="5">
      <t>サンカリョウ</t>
    </rPh>
    <rPh sb="5" eb="7">
      <t>ノウフ</t>
    </rPh>
    <rPh sb="8" eb="10">
      <t>ソウキン</t>
    </rPh>
    <rPh sb="13" eb="14">
      <t>カナラ</t>
    </rPh>
    <rPh sb="15" eb="17">
      <t>キョウツウ</t>
    </rPh>
    <rPh sb="18" eb="20">
      <t>シメイ</t>
    </rPh>
    <rPh sb="21" eb="23">
      <t>ダンタイ</t>
    </rPh>
    <rPh sb="23" eb="24">
      <t>メイ</t>
    </rPh>
    <rPh sb="25" eb="27">
      <t>シヨウ</t>
    </rPh>
    <rPh sb="34" eb="36">
      <t>キョウツウ</t>
    </rPh>
    <rPh sb="42" eb="44">
      <t>シヨウ</t>
    </rPh>
    <rPh sb="46" eb="48">
      <t>バアイ</t>
    </rPh>
    <rPh sb="49" eb="51">
      <t>ニュウキン</t>
    </rPh>
    <phoneticPr fontId="2"/>
  </si>
  <si>
    <t>　　が確認できず、エントリー完了とみなされない場合があります。</t>
    <rPh sb="3" eb="5">
      <t>カクニン</t>
    </rPh>
    <rPh sb="14" eb="16">
      <t>カンリョウ</t>
    </rPh>
    <rPh sb="23" eb="25">
      <t>バアイ</t>
    </rPh>
    <phoneticPr fontId="2"/>
  </si>
  <si>
    <t>④メールアドレスを入力</t>
    <rPh sb="9" eb="11">
      <t>ニュウリョク</t>
    </rPh>
    <phoneticPr fontId="2"/>
  </si>
  <si>
    <t>　※フリーメール（ yahoo など）の場合、返信メールがブロックされる場合があります。ご承知ください。</t>
    <rPh sb="20" eb="22">
      <t>バアイ</t>
    </rPh>
    <rPh sb="23" eb="25">
      <t>ヘンシン</t>
    </rPh>
    <rPh sb="36" eb="38">
      <t>バアイ</t>
    </rPh>
    <rPh sb="45" eb="47">
      <t>ショウチ</t>
    </rPh>
    <phoneticPr fontId="2"/>
  </si>
  <si>
    <t>⑤コメント</t>
    <phoneticPr fontId="2"/>
  </si>
  <si>
    <t>　※訂正送信の場合など、特記事項があれば記入してください。</t>
    <rPh sb="2" eb="4">
      <t>テイセイ</t>
    </rPh>
    <rPh sb="4" eb="6">
      <t>ソウシン</t>
    </rPh>
    <rPh sb="7" eb="9">
      <t>バアイ</t>
    </rPh>
    <rPh sb="12" eb="14">
      <t>トッキ</t>
    </rPh>
    <rPh sb="14" eb="16">
      <t>ジコウ</t>
    </rPh>
    <rPh sb="20" eb="22">
      <t>キニュウ</t>
    </rPh>
    <phoneticPr fontId="2"/>
  </si>
  <si>
    <t>⑥エントリーファイル添付</t>
    <rPh sb="10" eb="12">
      <t>テンプ</t>
    </rPh>
    <phoneticPr fontId="2"/>
  </si>
  <si>
    <t>　※参照ボタンを押し、各自のＰＣ上のエントリーファイルを選択したら、（通常）「開く」ボタンを押します。</t>
    <rPh sb="2" eb="4">
      <t>サンショウ</t>
    </rPh>
    <rPh sb="8" eb="9">
      <t>オ</t>
    </rPh>
    <rPh sb="11" eb="13">
      <t>カクジ</t>
    </rPh>
    <rPh sb="16" eb="17">
      <t>ウエ</t>
    </rPh>
    <rPh sb="28" eb="30">
      <t>センタク</t>
    </rPh>
    <rPh sb="35" eb="37">
      <t>ツウジョウ</t>
    </rPh>
    <rPh sb="39" eb="40">
      <t>ヒラ</t>
    </rPh>
    <rPh sb="46" eb="47">
      <t>オ</t>
    </rPh>
    <phoneticPr fontId="2"/>
  </si>
  <si>
    <t>⑦確認画面へ</t>
    <rPh sb="1" eb="3">
      <t>カクニン</t>
    </rPh>
    <rPh sb="3" eb="5">
      <t>ガメン</t>
    </rPh>
    <phoneticPr fontId="2"/>
  </si>
  <si>
    <t>⑧送信</t>
    <rPh sb="1" eb="3">
      <t>ソウシン</t>
    </rPh>
    <phoneticPr fontId="2"/>
  </si>
  <si>
    <t>上位所属/ｶﾃｺﾞﾘ</t>
    <rPh sb="0" eb="2">
      <t>ジョウイ</t>
    </rPh>
    <rPh sb="2" eb="4">
      <t>ショゾク</t>
    </rPh>
    <phoneticPr fontId="3"/>
  </si>
  <si>
    <t>住所/備考</t>
    <rPh sb="0" eb="2">
      <t>ジュウショ</t>
    </rPh>
    <rPh sb="3" eb="5">
      <t>ビコウ</t>
    </rPh>
    <phoneticPr fontId="3"/>
  </si>
  <si>
    <t>必要事項を記入したエントリーファイルは、県陸協エントリーセンターから送信してください。</t>
    <rPh sb="0" eb="2">
      <t>ヒツヨウ</t>
    </rPh>
    <rPh sb="2" eb="4">
      <t>ジコウ</t>
    </rPh>
    <rPh sb="5" eb="7">
      <t>キニュウ</t>
    </rPh>
    <rPh sb="20" eb="21">
      <t>ケン</t>
    </rPh>
    <rPh sb="21" eb="22">
      <t>リク</t>
    </rPh>
    <rPh sb="22" eb="23">
      <t>キョウ</t>
    </rPh>
    <rPh sb="34" eb="36">
      <t>ソウシン</t>
    </rPh>
    <phoneticPr fontId="2"/>
  </si>
  <si>
    <t>エントリー情報入力画面を開いて、</t>
    <rPh sb="5" eb="7">
      <t>ジョウホウ</t>
    </rPh>
    <rPh sb="7" eb="9">
      <t>ニュウリョク</t>
    </rPh>
    <rPh sb="9" eb="11">
      <t>ガメン</t>
    </rPh>
    <rPh sb="12" eb="13">
      <t>ヒラ</t>
    </rPh>
    <phoneticPr fontId="2"/>
  </si>
  <si>
    <t>①大会を選択　</t>
    <rPh sb="1" eb="3">
      <t>タイカイ</t>
    </rPh>
    <rPh sb="4" eb="6">
      <t>センタク</t>
    </rPh>
    <phoneticPr fontId="2"/>
  </si>
  <si>
    <t>　※大会ごとにファイルの送信先が異なりますので、間違いのないよう注意してください。</t>
    <rPh sb="2" eb="4">
      <t>タイカイ</t>
    </rPh>
    <rPh sb="12" eb="14">
      <t>ソウシン</t>
    </rPh>
    <rPh sb="14" eb="15">
      <t>サキ</t>
    </rPh>
    <rPh sb="16" eb="17">
      <t>コト</t>
    </rPh>
    <rPh sb="24" eb="26">
      <t>マチガ</t>
    </rPh>
    <rPh sb="32" eb="34">
      <t>チュウイ</t>
    </rPh>
    <phoneticPr fontId="2"/>
  </si>
  <si>
    <t>　　　　　　          　 性別・ｸﾗｽ
　種目</t>
    <rPh sb="18" eb="19">
      <t>セイ</t>
    </rPh>
    <rPh sb="19" eb="20">
      <t>ベツ</t>
    </rPh>
    <rPh sb="26" eb="28">
      <t>シュモク</t>
    </rPh>
    <phoneticPr fontId="2"/>
  </si>
  <si>
    <t>×</t>
    <phoneticPr fontId="2"/>
  </si>
  <si>
    <t>800m</t>
    <phoneticPr fontId="2"/>
  </si>
  <si>
    <t>高校</t>
    <rPh sb="0" eb="2">
      <t>コウコウ</t>
    </rPh>
    <phoneticPr fontId="2"/>
  </si>
  <si>
    <t>中学</t>
    <rPh sb="0" eb="2">
      <t>チュウガク</t>
    </rPh>
    <phoneticPr fontId="2"/>
  </si>
  <si>
    <t>走高跳</t>
    <rPh sb="0" eb="1">
      <t>ハシ</t>
    </rPh>
    <rPh sb="1" eb="3">
      <t>タカト</t>
    </rPh>
    <phoneticPr fontId="2"/>
  </si>
  <si>
    <t>砲丸投(5.000kg)</t>
    <rPh sb="0" eb="3">
      <t>ホウガンナ</t>
    </rPh>
    <phoneticPr fontId="2"/>
  </si>
  <si>
    <t>一般</t>
    <rPh sb="0" eb="2">
      <t>イッパン</t>
    </rPh>
    <phoneticPr fontId="2"/>
  </si>
  <si>
    <t>中学男子</t>
    <rPh sb="0" eb="2">
      <t>チュウガク</t>
    </rPh>
    <rPh sb="2" eb="4">
      <t>ダンシ</t>
    </rPh>
    <phoneticPr fontId="2"/>
  </si>
  <si>
    <t>中学女子</t>
    <rPh sb="0" eb="2">
      <t>チュウガク</t>
    </rPh>
    <rPh sb="2" eb="4">
      <t>ジョシ</t>
    </rPh>
    <phoneticPr fontId="2"/>
  </si>
  <si>
    <t>中学男子</t>
    <rPh sb="0" eb="2">
      <t>チュウガク</t>
    </rPh>
    <rPh sb="2" eb="4">
      <t>ダンシ</t>
    </rPh>
    <phoneticPr fontId="2"/>
  </si>
  <si>
    <t>中学女子</t>
    <rPh sb="0" eb="2">
      <t>チュウガク</t>
    </rPh>
    <rPh sb="2" eb="4">
      <t>ジョシ</t>
    </rPh>
    <phoneticPr fontId="2"/>
  </si>
  <si>
    <t>1500m</t>
    <phoneticPr fontId="2"/>
  </si>
  <si>
    <t>砲丸投(2.721kg)</t>
    <rPh sb="0" eb="3">
      <t>ホウガンナ</t>
    </rPh>
    <phoneticPr fontId="2"/>
  </si>
  <si>
    <t>長野　陸男</t>
    <rPh sb="0" eb="2">
      <t>ナガノ</t>
    </rPh>
    <rPh sb="3" eb="4">
      <t>リク</t>
    </rPh>
    <rPh sb="4" eb="5">
      <t>オトコ</t>
    </rPh>
    <phoneticPr fontId="3"/>
  </si>
  <si>
    <t>ﾅｶﾞﾉ　ﾘｸｵ</t>
    <phoneticPr fontId="3"/>
  </si>
  <si>
    <t>5000m</t>
    <phoneticPr fontId="2"/>
  </si>
  <si>
    <t>走幅跳</t>
    <rPh sb="0" eb="1">
      <t>ハシ</t>
    </rPh>
    <rPh sb="1" eb="3">
      <t>ハバト</t>
    </rPh>
    <phoneticPr fontId="2"/>
  </si>
  <si>
    <t>小学</t>
    <rPh sb="0" eb="2">
      <t>ショウガク</t>
    </rPh>
    <phoneticPr fontId="2"/>
  </si>
  <si>
    <t>100m</t>
    <phoneticPr fontId="2"/>
  </si>
  <si>
    <t>200m</t>
    <phoneticPr fontId="2"/>
  </si>
  <si>
    <t>400m</t>
    <phoneticPr fontId="2"/>
  </si>
  <si>
    <t>3000m</t>
    <phoneticPr fontId="2"/>
  </si>
  <si>
    <t>(Ａ)</t>
    <phoneticPr fontId="2"/>
  </si>
  <si>
    <t>(Ｂ)</t>
    <phoneticPr fontId="2"/>
  </si>
  <si>
    <t>小学男子</t>
    <rPh sb="0" eb="2">
      <t>ショウガク</t>
    </rPh>
    <rPh sb="2" eb="4">
      <t>ダンシ</t>
    </rPh>
    <phoneticPr fontId="2"/>
  </si>
  <si>
    <t>小学女子</t>
    <rPh sb="0" eb="2">
      <t>ショウガク</t>
    </rPh>
    <rPh sb="2" eb="4">
      <t>ジョシ</t>
    </rPh>
    <phoneticPr fontId="2"/>
  </si>
  <si>
    <t>100mH(0.762m)</t>
    <phoneticPr fontId="2"/>
  </si>
  <si>
    <t>110mH(0.914m)</t>
    <phoneticPr fontId="2"/>
  </si>
  <si>
    <t>小女4_6年</t>
    <phoneticPr fontId="2"/>
  </si>
  <si>
    <t>小男4_6年</t>
    <phoneticPr fontId="2"/>
  </si>
  <si>
    <t>人数制限表</t>
    <rPh sb="0" eb="2">
      <t>ニンズウ</t>
    </rPh>
    <rPh sb="2" eb="4">
      <t>セイゲン</t>
    </rPh>
    <rPh sb="4" eb="5">
      <t>ヒョウ</t>
    </rPh>
    <phoneticPr fontId="2"/>
  </si>
  <si>
    <t>一般男子</t>
    <rPh sb="0" eb="2">
      <t>イッパン</t>
    </rPh>
    <rPh sb="2" eb="4">
      <t>ダンシ</t>
    </rPh>
    <phoneticPr fontId="2"/>
  </si>
  <si>
    <t>一般女子</t>
    <rPh sb="0" eb="2">
      <t>イッパン</t>
    </rPh>
    <rPh sb="2" eb="4">
      <t>ジョシ</t>
    </rPh>
    <phoneticPr fontId="2"/>
  </si>
  <si>
    <t>高校男子</t>
    <rPh sb="0" eb="2">
      <t>コウコウ</t>
    </rPh>
    <rPh sb="2" eb="4">
      <t>ダンシ</t>
    </rPh>
    <phoneticPr fontId="2"/>
  </si>
  <si>
    <t>高校女子</t>
    <rPh sb="0" eb="2">
      <t>コウコウ</t>
    </rPh>
    <rPh sb="2" eb="4">
      <t>ジョシ</t>
    </rPh>
    <phoneticPr fontId="2"/>
  </si>
  <si>
    <t>中学中学男子</t>
    <rPh sb="2" eb="4">
      <t>チュウガク</t>
    </rPh>
    <rPh sb="4" eb="6">
      <t>ダンシ</t>
    </rPh>
    <phoneticPr fontId="2"/>
  </si>
  <si>
    <t>中学中学女子</t>
    <rPh sb="2" eb="4">
      <t>チュウガク</t>
    </rPh>
    <rPh sb="4" eb="6">
      <t>ジョシ</t>
    </rPh>
    <phoneticPr fontId="2"/>
  </si>
  <si>
    <t>4x100mR</t>
    <phoneticPr fontId="2"/>
  </si>
  <si>
    <t>緊急連絡先
電話番号</t>
    <rPh sb="0" eb="2">
      <t>キンキュウ</t>
    </rPh>
    <rPh sb="2" eb="5">
      <t>レンラクサキ</t>
    </rPh>
    <rPh sb="6" eb="8">
      <t>デンワ</t>
    </rPh>
    <rPh sb="8" eb="10">
      <t>バンゴウ</t>
    </rPh>
    <phoneticPr fontId="1"/>
  </si>
  <si>
    <t>走幅跳</t>
    <rPh sb="0" eb="1">
      <t>ハシ</t>
    </rPh>
    <rPh sb="1" eb="3">
      <t>ハバト</t>
    </rPh>
    <phoneticPr fontId="1"/>
  </si>
  <si>
    <t>リレーデータ</t>
    <phoneticPr fontId="2"/>
  </si>
  <si>
    <t>個人</t>
    <rPh sb="0" eb="2">
      <t>コジン</t>
    </rPh>
    <phoneticPr fontId="2"/>
  </si>
  <si>
    <t>リレー</t>
    <phoneticPr fontId="2"/>
  </si>
  <si>
    <t>エラー</t>
    <phoneticPr fontId="2"/>
  </si>
  <si>
    <t>ﾌﾘｶﾞﾅ(半角ｶﾅ)</t>
    <rPh sb="6" eb="8">
      <t>ハンカク</t>
    </rPh>
    <phoneticPr fontId="3"/>
  </si>
  <si>
    <t>【エントリーについての注意と手順】</t>
    <rPh sb="11" eb="13">
      <t>チュウイ</t>
    </rPh>
    <rPh sb="14" eb="16">
      <t>テジュン</t>
    </rPh>
    <phoneticPr fontId="2"/>
  </si>
  <si>
    <t>エラーはプログラムから漏れる可能性があります。</t>
    <phoneticPr fontId="2"/>
  </si>
  <si>
    <t>エラーファイルは再エントリーをしていただきます。</t>
    <rPh sb="8" eb="9">
      <t>サイ</t>
    </rPh>
    <phoneticPr fontId="2"/>
  </si>
  <si>
    <t>１．エントリーと参加料納付について</t>
    <rPh sb="8" eb="11">
      <t>サンカリョウ</t>
    </rPh>
    <rPh sb="11" eb="13">
      <t>ノウフ</t>
    </rPh>
    <phoneticPr fontId="2"/>
  </si>
  <si>
    <t>２．エントリーファイル入力の手順について</t>
    <rPh sb="11" eb="13">
      <t>ニュウリョク</t>
    </rPh>
    <rPh sb="14" eb="16">
      <t>テジュン</t>
    </rPh>
    <phoneticPr fontId="2"/>
  </si>
  <si>
    <t>必ず下記の手順に沿ってエントリーファイルの入力を行ってください。</t>
    <rPh sb="0" eb="1">
      <t>カナラ</t>
    </rPh>
    <rPh sb="2" eb="4">
      <t>カキ</t>
    </rPh>
    <rPh sb="5" eb="7">
      <t>テジュン</t>
    </rPh>
    <rPh sb="8" eb="9">
      <t>ソ</t>
    </rPh>
    <rPh sb="21" eb="23">
      <t>ニュウリョク</t>
    </rPh>
    <rPh sb="24" eb="25">
      <t>オコナ</t>
    </rPh>
    <phoneticPr fontId="2"/>
  </si>
  <si>
    <t>①黄色のセルは入力（選択）必須事項です。必ず入力してください。</t>
    <rPh sb="1" eb="3">
      <t>キイロ</t>
    </rPh>
    <rPh sb="2" eb="3">
      <t>イロ</t>
    </rPh>
    <rPh sb="7" eb="9">
      <t>ニュウリョク</t>
    </rPh>
    <rPh sb="10" eb="12">
      <t>センタク</t>
    </rPh>
    <rPh sb="13" eb="15">
      <t>ヒッス</t>
    </rPh>
    <rPh sb="15" eb="17">
      <t>ジコウ</t>
    </rPh>
    <rPh sb="20" eb="21">
      <t>カナラ</t>
    </rPh>
    <rPh sb="22" eb="24">
      <t>ニュウリョク</t>
    </rPh>
    <phoneticPr fontId="2"/>
  </si>
  <si>
    <t>②入力開始後、赤くなるセルは入力が済んでいません。</t>
    <rPh sb="1" eb="3">
      <t>ニュウリョク</t>
    </rPh>
    <rPh sb="3" eb="6">
      <t>カイシゴ</t>
    </rPh>
    <rPh sb="7" eb="8">
      <t>アカ</t>
    </rPh>
    <rPh sb="14" eb="16">
      <t>ニュウリョク</t>
    </rPh>
    <rPh sb="17" eb="18">
      <t>ス</t>
    </rPh>
    <phoneticPr fontId="2"/>
  </si>
  <si>
    <t>③入力した内容がプログラム、記録、賞状等にそのまま反映されます。</t>
    <rPh sb="1" eb="3">
      <t>ニュウリョク</t>
    </rPh>
    <rPh sb="5" eb="7">
      <t>ナイヨウ</t>
    </rPh>
    <rPh sb="14" eb="16">
      <t>キロク</t>
    </rPh>
    <rPh sb="17" eb="19">
      <t>ショウジョウ</t>
    </rPh>
    <rPh sb="19" eb="20">
      <t>トウ</t>
    </rPh>
    <rPh sb="25" eb="27">
      <t>ハンエイ</t>
    </rPh>
    <phoneticPr fontId="2"/>
  </si>
  <si>
    <t>④シート・セルの削除・挿入などはしないでください。</t>
    <rPh sb="8" eb="10">
      <t>サクジョ</t>
    </rPh>
    <rPh sb="11" eb="13">
      <t>ソウニュウ</t>
    </rPh>
    <phoneticPr fontId="2"/>
  </si>
  <si>
    <t>（１）エントリーファイル名の変更</t>
    <rPh sb="12" eb="13">
      <t>メイ</t>
    </rPh>
    <rPh sb="14" eb="16">
      <t>ヘンコウ</t>
    </rPh>
    <phoneticPr fontId="2"/>
  </si>
  <si>
    <t>（２）個人種目申込一覧表</t>
    <rPh sb="3" eb="5">
      <t>コジン</t>
    </rPh>
    <rPh sb="5" eb="7">
      <t>シュモク</t>
    </rPh>
    <rPh sb="7" eb="9">
      <t>モウシコミ</t>
    </rPh>
    <rPh sb="9" eb="11">
      <t>イチラン</t>
    </rPh>
    <rPh sb="11" eb="12">
      <t>ヒョウ</t>
    </rPh>
    <phoneticPr fontId="2"/>
  </si>
  <si>
    <t>③「申込責任者氏名・住所・緊急連絡先の電話番号」を入力して下さい。</t>
    <rPh sb="2" eb="4">
      <t>モウシコミ</t>
    </rPh>
    <rPh sb="4" eb="7">
      <t>セキニンシャ</t>
    </rPh>
    <rPh sb="7" eb="9">
      <t>シメイ</t>
    </rPh>
    <rPh sb="10" eb="12">
      <t>ジュウショ</t>
    </rPh>
    <rPh sb="13" eb="18">
      <t>キンキュウレンラクサキ</t>
    </rPh>
    <rPh sb="19" eb="21">
      <t>デンワ</t>
    </rPh>
    <rPh sb="21" eb="23">
      <t>バンゴウ</t>
    </rPh>
    <rPh sb="25" eb="27">
      <t>ニュウリョク</t>
    </rPh>
    <rPh sb="29" eb="30">
      <t>クダ</t>
    </rPh>
    <phoneticPr fontId="2"/>
  </si>
  <si>
    <t>　絶対に、他のデータからの貼付けはしないで下さい。</t>
    <rPh sb="1" eb="3">
      <t>ゼッタイ</t>
    </rPh>
    <rPh sb="5" eb="6">
      <t>タ</t>
    </rPh>
    <rPh sb="13" eb="14">
      <t>ハ</t>
    </rPh>
    <rPh sb="14" eb="15">
      <t>ツ</t>
    </rPh>
    <rPh sb="21" eb="22">
      <t>クダ</t>
    </rPh>
    <phoneticPr fontId="2"/>
  </si>
  <si>
    <t>⑥「氏名とﾌﾘｶﾞﾅ」を入力をして下さい。</t>
    <rPh sb="2" eb="4">
      <t>シメイ</t>
    </rPh>
    <rPh sb="12" eb="14">
      <t>ニュウリョク</t>
    </rPh>
    <rPh sb="17" eb="18">
      <t>クダ</t>
    </rPh>
    <phoneticPr fontId="2"/>
  </si>
  <si>
    <t>　リレーと兼ねる場合は、同じ漢字を使用しているか注意して下さい。（例：澤と沢など）</t>
    <rPh sb="5" eb="6">
      <t>カ</t>
    </rPh>
    <rPh sb="8" eb="10">
      <t>バアイ</t>
    </rPh>
    <rPh sb="12" eb="13">
      <t>オナ</t>
    </rPh>
    <rPh sb="14" eb="16">
      <t>カンジ</t>
    </rPh>
    <rPh sb="17" eb="19">
      <t>シヨウ</t>
    </rPh>
    <rPh sb="24" eb="26">
      <t>チュウイ</t>
    </rPh>
    <rPh sb="28" eb="29">
      <t>クダ</t>
    </rPh>
    <rPh sb="33" eb="34">
      <t>レイ</t>
    </rPh>
    <rPh sb="35" eb="36">
      <t>サワ</t>
    </rPh>
    <rPh sb="37" eb="38">
      <t>サワ</t>
    </rPh>
    <phoneticPr fontId="2"/>
  </si>
  <si>
    <t>　絶対に、他のデータからの貼付けはしないで下さい。種目間違いが多発しています。</t>
    <rPh sb="1" eb="3">
      <t>ゼッタイ</t>
    </rPh>
    <rPh sb="5" eb="6">
      <t>タ</t>
    </rPh>
    <rPh sb="13" eb="14">
      <t>ハ</t>
    </rPh>
    <rPh sb="14" eb="15">
      <t>ツ</t>
    </rPh>
    <rPh sb="21" eb="22">
      <t>クダ</t>
    </rPh>
    <rPh sb="25" eb="27">
      <t>シュモク</t>
    </rPh>
    <rPh sb="27" eb="29">
      <t>マチガ</t>
    </rPh>
    <rPh sb="31" eb="33">
      <t>タハツ</t>
    </rPh>
    <phoneticPr fontId="2"/>
  </si>
  <si>
    <t>⑨「参考記録」に自己記録又は目標記録を入力して下さい。</t>
    <rPh sb="2" eb="4">
      <t>サンコウ</t>
    </rPh>
    <rPh sb="4" eb="6">
      <t>キロク</t>
    </rPh>
    <rPh sb="8" eb="10">
      <t>ジコ</t>
    </rPh>
    <rPh sb="10" eb="12">
      <t>キロク</t>
    </rPh>
    <rPh sb="12" eb="13">
      <t>マタ</t>
    </rPh>
    <rPh sb="14" eb="16">
      <t>モクヒョウ</t>
    </rPh>
    <rPh sb="16" eb="18">
      <t>キロク</t>
    </rPh>
    <rPh sb="19" eb="21">
      <t>ニュウリョク</t>
    </rPh>
    <rPh sb="23" eb="24">
      <t>クダ</t>
    </rPh>
    <phoneticPr fontId="2"/>
  </si>
  <si>
    <t>　数字のみとし単位（秒、ｍ、：、.、など）は入れないで下さい。</t>
    <rPh sb="1" eb="3">
      <t>スウジ</t>
    </rPh>
    <rPh sb="10" eb="11">
      <t>ビョウ</t>
    </rPh>
    <phoneticPr fontId="2"/>
  </si>
  <si>
    <t>　トラック種目は1/100秒までとし、手動で12秒6の場合でも、1260と入力してください。</t>
    <rPh sb="19" eb="21">
      <t>シュドウ</t>
    </rPh>
    <rPh sb="24" eb="25">
      <t>ビョウ</t>
    </rPh>
    <rPh sb="27" eb="29">
      <t>バアイ</t>
    </rPh>
    <rPh sb="37" eb="39">
      <t>ニュウリョク</t>
    </rPh>
    <phoneticPr fontId="2"/>
  </si>
  <si>
    <t>３．エントリーセンターからのエントリーファイル送信方法</t>
    <rPh sb="23" eb="25">
      <t>ソウシン</t>
    </rPh>
    <rPh sb="25" eb="27">
      <t>ホウホウ</t>
    </rPh>
    <phoneticPr fontId="2"/>
  </si>
  <si>
    <t>　　間違えて他の大会を選択し送信するとエントリーファイルが届きません。</t>
    <rPh sb="2" eb="4">
      <t>マチガ</t>
    </rPh>
    <rPh sb="6" eb="7">
      <t>タ</t>
    </rPh>
    <rPh sb="8" eb="10">
      <t>タイカイ</t>
    </rPh>
    <rPh sb="11" eb="13">
      <t>センタク</t>
    </rPh>
    <rPh sb="14" eb="16">
      <t>ソウシン</t>
    </rPh>
    <rPh sb="29" eb="30">
      <t>トド</t>
    </rPh>
    <phoneticPr fontId="2"/>
  </si>
  <si>
    <t>⑨受付完了の自動返信メールを受信し、内容を確認してください。</t>
    <rPh sb="18" eb="20">
      <t>ナイヨウ</t>
    </rPh>
    <rPh sb="21" eb="23">
      <t>カクニン</t>
    </rPh>
    <phoneticPr fontId="2"/>
  </si>
  <si>
    <t>所属名を入れて下さい。</t>
    <rPh sb="4" eb="5">
      <t>イ</t>
    </rPh>
    <rPh sb="7" eb="8">
      <t>クダ</t>
    </rPh>
    <phoneticPr fontId="2"/>
  </si>
  <si>
    <t>通りに行われている場合には、原則としてエントリーを認め競技会への参加を認めます。</t>
    <rPh sb="0" eb="1">
      <t>トオ</t>
    </rPh>
    <rPh sb="3" eb="4">
      <t>オコナ</t>
    </rPh>
    <rPh sb="9" eb="11">
      <t>バアイ</t>
    </rPh>
    <rPh sb="14" eb="16">
      <t>ゲンソク</t>
    </rPh>
    <rPh sb="25" eb="26">
      <t>ミト</t>
    </rPh>
    <rPh sb="27" eb="30">
      <t>キョウギカイ</t>
    </rPh>
    <rPh sb="32" eb="34">
      <t>サンカ</t>
    </rPh>
    <rPh sb="35" eb="36">
      <t>ミト</t>
    </rPh>
    <phoneticPr fontId="2"/>
  </si>
  <si>
    <r>
      <t>　他のデータからコピー・貼付けする場合は、</t>
    </r>
    <r>
      <rPr>
        <u/>
        <sz val="11"/>
        <color indexed="10"/>
        <rFont val="Meiryo UI"/>
        <family val="3"/>
        <charset val="128"/>
      </rPr>
      <t>「形式を選択し貼り付け」選択し、「値」</t>
    </r>
    <r>
      <rPr>
        <sz val="11"/>
        <color indexed="10"/>
        <rFont val="Meiryo UI"/>
        <family val="3"/>
        <charset val="128"/>
      </rPr>
      <t>の貼付けをして下さい。</t>
    </r>
    <rPh sb="1" eb="2">
      <t>タ</t>
    </rPh>
    <rPh sb="12" eb="13">
      <t>ハ</t>
    </rPh>
    <rPh sb="13" eb="14">
      <t>ツ</t>
    </rPh>
    <rPh sb="17" eb="19">
      <t>バアイ</t>
    </rPh>
    <rPh sb="22" eb="24">
      <t>ケイシキ</t>
    </rPh>
    <rPh sb="25" eb="27">
      <t>センタク</t>
    </rPh>
    <rPh sb="28" eb="29">
      <t>ハ</t>
    </rPh>
    <rPh sb="30" eb="31">
      <t>ツ</t>
    </rPh>
    <rPh sb="33" eb="35">
      <t>センタク</t>
    </rPh>
    <rPh sb="38" eb="39">
      <t>アタイ</t>
    </rPh>
    <rPh sb="41" eb="42">
      <t>ハ</t>
    </rPh>
    <rPh sb="42" eb="43">
      <t>ツ</t>
    </rPh>
    <rPh sb="47" eb="48">
      <t>クダ</t>
    </rPh>
    <phoneticPr fontId="2"/>
  </si>
  <si>
    <r>
      <t>　姓と名の間に</t>
    </r>
    <r>
      <rPr>
        <u/>
        <sz val="11"/>
        <color indexed="10"/>
        <rFont val="Meiryo UI"/>
        <family val="3"/>
        <charset val="128"/>
      </rPr>
      <t>空白１つ</t>
    </r>
    <r>
      <rPr>
        <sz val="11"/>
        <color indexed="10"/>
        <rFont val="Meiryo UI"/>
        <family val="3"/>
        <charset val="128"/>
      </rPr>
      <t>（全角／半角どちらでも可）として下さい。（2つ以上は入れないで下さい）</t>
    </r>
    <rPh sb="27" eb="28">
      <t>クダ</t>
    </rPh>
    <rPh sb="34" eb="36">
      <t>イジョウ</t>
    </rPh>
    <rPh sb="37" eb="38">
      <t>イ</t>
    </rPh>
    <rPh sb="42" eb="43">
      <t>クダ</t>
    </rPh>
    <phoneticPr fontId="2"/>
  </si>
  <si>
    <r>
      <t>⑩セルが</t>
    </r>
    <r>
      <rPr>
        <sz val="11"/>
        <color indexed="10"/>
        <rFont val="Meiryo UI"/>
        <family val="3"/>
        <charset val="128"/>
      </rPr>
      <t>”赤色”</t>
    </r>
    <r>
      <rPr>
        <sz val="11"/>
        <rFont val="Meiryo UI"/>
        <family val="3"/>
        <charset val="128"/>
      </rPr>
      <t>になっているところが無いか（未入力）確認してください。</t>
    </r>
    <rPh sb="5" eb="7">
      <t>アカイロ</t>
    </rPh>
    <rPh sb="18" eb="19">
      <t>ナ</t>
    </rPh>
    <rPh sb="22" eb="25">
      <t>ミニュウリョク</t>
    </rPh>
    <rPh sb="26" eb="28">
      <t>カクニン</t>
    </rPh>
    <phoneticPr fontId="2"/>
  </si>
  <si>
    <t>男子</t>
    <rPh sb="0" eb="2">
      <t>ダンシ</t>
    </rPh>
    <phoneticPr fontId="2"/>
  </si>
  <si>
    <t>女子</t>
    <rPh sb="0" eb="2">
      <t>ジョシ</t>
    </rPh>
    <phoneticPr fontId="2"/>
  </si>
  <si>
    <t>　ここを選択しないと「種目」を選択できません。</t>
    <rPh sb="4" eb="6">
      <t>センタク</t>
    </rPh>
    <rPh sb="11" eb="13">
      <t>シュモク</t>
    </rPh>
    <rPh sb="15" eb="17">
      <t>センタク</t>
    </rPh>
    <phoneticPr fontId="2"/>
  </si>
  <si>
    <t>参加料／人</t>
    <rPh sb="0" eb="2">
      <t>サンカ</t>
    </rPh>
    <rPh sb="4" eb="5">
      <t>ニン</t>
    </rPh>
    <phoneticPr fontId="3"/>
  </si>
  <si>
    <t>訂正・追加の場合は、訂正分・追加分だけでなく、改めて全データを入力したファイルを作成してください。</t>
    <rPh sb="0" eb="2">
      <t>テイセイ</t>
    </rPh>
    <rPh sb="3" eb="5">
      <t>ツイカ</t>
    </rPh>
    <rPh sb="6" eb="8">
      <t>バアイ</t>
    </rPh>
    <rPh sb="10" eb="12">
      <t>テイセイ</t>
    </rPh>
    <rPh sb="12" eb="13">
      <t>フン</t>
    </rPh>
    <rPh sb="14" eb="16">
      <t>ツイカ</t>
    </rPh>
    <rPh sb="16" eb="17">
      <t>フン</t>
    </rPh>
    <rPh sb="23" eb="24">
      <t>アラタ</t>
    </rPh>
    <rPh sb="26" eb="27">
      <t>ゼン</t>
    </rPh>
    <rPh sb="31" eb="33">
      <t>ニュウリョク</t>
    </rPh>
    <rPh sb="40" eb="42">
      <t>サクセイ</t>
    </rPh>
    <phoneticPr fontId="2"/>
  </si>
  <si>
    <t>　　　　 　　 性別・ｸﾗｽ
種目</t>
    <rPh sb="8" eb="9">
      <t>セイ</t>
    </rPh>
    <rPh sb="9" eb="10">
      <t>ベツ</t>
    </rPh>
    <rPh sb="15" eb="17">
      <t>シュモク</t>
    </rPh>
    <phoneticPr fontId="2"/>
  </si>
  <si>
    <t>リレー申込票／長野陸上競技協会　</t>
    <rPh sb="7" eb="9">
      <t>ナガノ</t>
    </rPh>
    <rPh sb="9" eb="11">
      <t>リクジョウ</t>
    </rPh>
    <rPh sb="11" eb="13">
      <t>キョウギ</t>
    </rPh>
    <rPh sb="13" eb="15">
      <t>キョウカイ</t>
    </rPh>
    <phoneticPr fontId="3"/>
  </si>
  <si>
    <r>
      <t xml:space="preserve"> 所属団体名略称ﾌﾘｶﾞﾅ
（</t>
    </r>
    <r>
      <rPr>
        <sz val="11"/>
        <color indexed="10"/>
        <rFont val="Meiryo UI"/>
        <family val="3"/>
        <charset val="128"/>
      </rPr>
      <t>半角ｶﾅ</t>
    </r>
    <r>
      <rPr>
        <sz val="11"/>
        <rFont val="Meiryo UI"/>
        <family val="3"/>
        <charset val="128"/>
      </rPr>
      <t>で</t>
    </r>
    <r>
      <rPr>
        <sz val="11"/>
        <color indexed="8"/>
        <rFont val="Meiryo UI"/>
        <family val="3"/>
        <charset val="128"/>
      </rPr>
      <t>入力して下さい）</t>
    </r>
    <rPh sb="15" eb="17">
      <t>ハンカク</t>
    </rPh>
    <rPh sb="20" eb="22">
      <t>ニュウリョク</t>
    </rPh>
    <rPh sb="24" eb="25">
      <t>クダ</t>
    </rPh>
    <phoneticPr fontId="1"/>
  </si>
  <si>
    <t>やり投(600g)</t>
    <rPh sb="2" eb="3">
      <t>ナ</t>
    </rPh>
    <phoneticPr fontId="2"/>
  </si>
  <si>
    <t>やり投(800g)</t>
    <rPh sb="2" eb="3">
      <t>ナ</t>
    </rPh>
    <phoneticPr fontId="2"/>
  </si>
  <si>
    <t>②「所属団体名・所属団体名略称・ 所属団体名略称ﾌﾘｶﾞﾅ」を入力して下さい。</t>
    <rPh sb="2" eb="4">
      <t>ショゾク</t>
    </rPh>
    <rPh sb="4" eb="6">
      <t>ダンタイ</t>
    </rPh>
    <rPh sb="6" eb="7">
      <t>メイ</t>
    </rPh>
    <phoneticPr fontId="2"/>
  </si>
  <si>
    <t>所属団体名
※日本陸連登録団体名･学校名</t>
    <rPh sb="0" eb="2">
      <t>ショゾク</t>
    </rPh>
    <rPh sb="7" eb="9">
      <t>ニホン</t>
    </rPh>
    <rPh sb="9" eb="11">
      <t>リクレン</t>
    </rPh>
    <phoneticPr fontId="2"/>
  </si>
  <si>
    <t>　アスリートビブスの重複がないか確認してください。</t>
    <rPh sb="10" eb="12">
      <t>ジュウフク</t>
    </rPh>
    <rPh sb="16" eb="18">
      <t>カクニン</t>
    </rPh>
    <phoneticPr fontId="2"/>
  </si>
  <si>
    <t>　（重複がある場合は右側に警告が出ます　アスリートビブスや氏名が違ってないか確認下さい）</t>
    <rPh sb="2" eb="4">
      <t>ジュウフク</t>
    </rPh>
    <rPh sb="10" eb="12">
      <t>ミギガワ</t>
    </rPh>
    <rPh sb="29" eb="31">
      <t>シメイ</t>
    </rPh>
    <rPh sb="32" eb="33">
      <t>チガ</t>
    </rPh>
    <rPh sb="38" eb="40">
      <t>カクニン</t>
    </rPh>
    <rPh sb="40" eb="41">
      <t>クダ</t>
    </rPh>
    <phoneticPr fontId="2"/>
  </si>
  <si>
    <t>　（同サイトの「エントリー状況確認」のページでも確認が出来ます）</t>
    <phoneticPr fontId="2"/>
  </si>
  <si>
    <t>ｱｽﾘｰﾄ
ﾋﾞﾌﾞｽ</t>
    <phoneticPr fontId="3"/>
  </si>
  <si>
    <t>ﾋﾞﾌﾞｽ
/学年</t>
    <rPh sb="7" eb="9">
      <t>ガクネン</t>
    </rPh>
    <phoneticPr fontId="2"/>
  </si>
  <si>
    <t>④「性別/ｸﾗｽ」をドロップダウンから選択して下さい。</t>
    <rPh sb="2" eb="4">
      <t>セイベツ</t>
    </rPh>
    <rPh sb="19" eb="21">
      <t>センタク</t>
    </rPh>
    <rPh sb="23" eb="24">
      <t>クダ</t>
    </rPh>
    <phoneticPr fontId="2"/>
  </si>
  <si>
    <t>⑦学生の方は「学年」をドロップダウンから選択して下さい。</t>
    <rPh sb="1" eb="3">
      <t>ガクセイ</t>
    </rPh>
    <rPh sb="4" eb="5">
      <t>カタ</t>
    </rPh>
    <rPh sb="7" eb="9">
      <t>ガクネン</t>
    </rPh>
    <rPh sb="20" eb="22">
      <t>センタク</t>
    </rPh>
    <rPh sb="24" eb="25">
      <t>クダ</t>
    </rPh>
    <phoneticPr fontId="2"/>
  </si>
  <si>
    <t>⑧「種目」をドロップダウンから選択して下さい。</t>
    <rPh sb="2" eb="4">
      <t>シュモク</t>
    </rPh>
    <rPh sb="15" eb="17">
      <t>センタク</t>
    </rPh>
    <rPh sb="19" eb="20">
      <t>クダ</t>
    </rPh>
    <phoneticPr fontId="2"/>
  </si>
  <si>
    <t>1000m</t>
    <phoneticPr fontId="2"/>
  </si>
  <si>
    <t>M</t>
    <phoneticPr fontId="2"/>
  </si>
  <si>
    <t>小学小学男子</t>
    <rPh sb="0" eb="2">
      <t>ショウガク</t>
    </rPh>
    <rPh sb="2" eb="4">
      <t>ショウガク</t>
    </rPh>
    <rPh sb="4" eb="6">
      <t>ダンシ</t>
    </rPh>
    <phoneticPr fontId="2"/>
  </si>
  <si>
    <t>小学小学女子</t>
    <rPh sb="0" eb="2">
      <t>ショウガク</t>
    </rPh>
    <rPh sb="2" eb="4">
      <t>ショウガク</t>
    </rPh>
    <rPh sb="4" eb="6">
      <t>ジョシ</t>
    </rPh>
    <phoneticPr fontId="2"/>
  </si>
  <si>
    <t>D</t>
    <phoneticPr fontId="2"/>
  </si>
  <si>
    <t>(A)</t>
  </si>
  <si>
    <t>(B)</t>
  </si>
  <si>
    <t>(E)</t>
    <phoneticPr fontId="2"/>
  </si>
  <si>
    <t>(F)</t>
    <phoneticPr fontId="2"/>
  </si>
  <si>
    <t>【大会別特記事項】
○参加料は、個人種目申込一覧表の上位所属/ｶﾃｺﾞﾘ欄に対応してい
　ます。
○2チームのエントリーされる場合は、チーム枝記号
　が自動的に付きます。
○参考記録を必ず入力してください。4×100mR も分表示です。
 （例： 62秒35 ×　→　10235）</t>
    <rPh sb="1" eb="3">
      <t>タイカイ</t>
    </rPh>
    <rPh sb="3" eb="4">
      <t>ベツ</t>
    </rPh>
    <rPh sb="4" eb="6">
      <t>トッキ</t>
    </rPh>
    <rPh sb="6" eb="8">
      <t>ジコウ</t>
    </rPh>
    <rPh sb="11" eb="14">
      <t>サンカリョウ</t>
    </rPh>
    <rPh sb="16" eb="18">
      <t>コジン</t>
    </rPh>
    <rPh sb="18" eb="20">
      <t>シュモク</t>
    </rPh>
    <rPh sb="20" eb="22">
      <t>モウシコ</t>
    </rPh>
    <rPh sb="22" eb="24">
      <t>イチラン</t>
    </rPh>
    <rPh sb="24" eb="25">
      <t>ヒョウ</t>
    </rPh>
    <rPh sb="26" eb="28">
      <t>ジョウイ</t>
    </rPh>
    <rPh sb="28" eb="30">
      <t>ショゾク</t>
    </rPh>
    <rPh sb="36" eb="37">
      <t>ラン</t>
    </rPh>
    <rPh sb="38" eb="40">
      <t>タイオウ</t>
    </rPh>
    <phoneticPr fontId="2"/>
  </si>
  <si>
    <t>ｴﾝﾄﾘｰｵｰﾊﾞｰ</t>
    <phoneticPr fontId="2"/>
  </si>
  <si>
    <t>高校男子</t>
    <rPh sb="2" eb="4">
      <t>ダンシ</t>
    </rPh>
    <phoneticPr fontId="2"/>
  </si>
  <si>
    <t>高校女子</t>
    <rPh sb="2" eb="4">
      <t>ジョシ</t>
    </rPh>
    <phoneticPr fontId="2"/>
  </si>
  <si>
    <t>⑪参加制限を満たした場合はその種目は選択できません。</t>
    <rPh sb="1" eb="3">
      <t>サンカ</t>
    </rPh>
    <rPh sb="3" eb="5">
      <t>セイゲン</t>
    </rPh>
    <rPh sb="6" eb="7">
      <t>ミ</t>
    </rPh>
    <rPh sb="10" eb="12">
      <t>バアイ</t>
    </rPh>
    <rPh sb="15" eb="17">
      <t>シュモク</t>
    </rPh>
    <rPh sb="18" eb="20">
      <t>センタク</t>
    </rPh>
    <phoneticPr fontId="2"/>
  </si>
  <si>
    <t xml:space="preserve">【大会別特記事項】
○参考記録を必ず入力のこと。400mも分表示です。
○性別/ｸﾗｽを選択すると、該当の種目がドロップダウンで
   選択できるようになります。
○参加制限を満たした場合はその種目は選択できません。
</t>
    <rPh sb="1" eb="3">
      <t>タイカイ</t>
    </rPh>
    <rPh sb="3" eb="4">
      <t>ベツ</t>
    </rPh>
    <rPh sb="4" eb="6">
      <t>トッキ</t>
    </rPh>
    <rPh sb="6" eb="8">
      <t>ジコウ</t>
    </rPh>
    <rPh sb="11" eb="13">
      <t>サンコウ</t>
    </rPh>
    <rPh sb="13" eb="15">
      <t>キロク</t>
    </rPh>
    <rPh sb="16" eb="17">
      <t>カナラ</t>
    </rPh>
    <rPh sb="18" eb="20">
      <t>ニュウリョク</t>
    </rPh>
    <rPh sb="29" eb="30">
      <t>フン</t>
    </rPh>
    <rPh sb="30" eb="32">
      <t>ヒョウジ</t>
    </rPh>
    <rPh sb="37" eb="39">
      <t>セイベツ</t>
    </rPh>
    <rPh sb="44" eb="46">
      <t>センタク</t>
    </rPh>
    <rPh sb="50" eb="52">
      <t>ガイトウ</t>
    </rPh>
    <rPh sb="53" eb="55">
      <t>シュモク</t>
    </rPh>
    <rPh sb="68" eb="70">
      <t>センタク</t>
    </rPh>
    <phoneticPr fontId="2"/>
  </si>
  <si>
    <t>　中学は”中”、高校は”高”、大学は”大”を必ずつけてください。</t>
    <rPh sb="1" eb="3">
      <t>チュウガク</t>
    </rPh>
    <rPh sb="4" eb="5">
      <t>コウ</t>
    </rPh>
    <rPh sb="7" eb="9">
      <t>ダイガク</t>
    </rPh>
    <rPh sb="11" eb="12">
      <t>ダイ</t>
    </rPh>
    <rPh sb="14" eb="15">
      <t>カナラ</t>
    </rPh>
    <phoneticPr fontId="2"/>
  </si>
  <si>
    <t>①「上位所属/ｶﾃｺﾞﾘ」をドロップダウンから選択（一般・高校・中学）して下さい。</t>
    <rPh sb="2" eb="4">
      <t>ジョウイ</t>
    </rPh>
    <rPh sb="4" eb="6">
      <t>ショゾク</t>
    </rPh>
    <rPh sb="23" eb="25">
      <t>センタク</t>
    </rPh>
    <rPh sb="26" eb="28">
      <t>イッパン</t>
    </rPh>
    <rPh sb="29" eb="31">
      <t>コウコウ</t>
    </rPh>
    <rPh sb="32" eb="34">
      <t>チュウガク</t>
    </rPh>
    <rPh sb="37" eb="38">
      <t>クダ</t>
    </rPh>
    <phoneticPr fontId="2"/>
  </si>
  <si>
    <t>（3）追加・訂正</t>
    <rPh sb="3" eb="5">
      <t>ツイカ</t>
    </rPh>
    <rPh sb="6" eb="8">
      <t>テイセイ</t>
    </rPh>
    <phoneticPr fontId="2"/>
  </si>
  <si>
    <t>⑤「アスリートビブス」を入力して下さい。（大学・一般の場合は必要ありません）</t>
    <rPh sb="12" eb="14">
      <t>ニュウリョク</t>
    </rPh>
    <rPh sb="16" eb="17">
      <t>クダ</t>
    </rPh>
    <rPh sb="21" eb="23">
      <t>ダイガク</t>
    </rPh>
    <rPh sb="24" eb="26">
      <t>イッパン</t>
    </rPh>
    <rPh sb="27" eb="29">
      <t>バアイ</t>
    </rPh>
    <rPh sb="30" eb="32">
      <t>ヒツヨウ</t>
    </rPh>
    <phoneticPr fontId="2"/>
  </si>
  <si>
    <t>（例：800ｍ　2分20秒48 → 22048　　走幅跳　3m20　→　320）</t>
    <phoneticPr fontId="2"/>
  </si>
  <si>
    <r>
      <t xml:space="preserve"> 所属団体名略称
</t>
    </r>
    <r>
      <rPr>
        <sz val="11"/>
        <color indexed="10"/>
        <rFont val="Meiryo UI"/>
        <family val="3"/>
        <charset val="128"/>
      </rPr>
      <t>"中””高””大”まで入力</t>
    </r>
    <rPh sb="1" eb="3">
      <t>ショゾク</t>
    </rPh>
    <rPh sb="3" eb="5">
      <t>ダンタイ</t>
    </rPh>
    <rPh sb="5" eb="6">
      <t>メイ</t>
    </rPh>
    <rPh sb="6" eb="8">
      <t>リャクショウ</t>
    </rPh>
    <rPh sb="9" eb="10">
      <t>チュウ</t>
    </rPh>
    <rPh sb="12" eb="13">
      <t>コウ</t>
    </rPh>
    <rPh sb="15" eb="16">
      <t>ダイ</t>
    </rPh>
    <rPh sb="19" eb="21">
      <t>ニュウリョク</t>
    </rPh>
    <phoneticPr fontId="2"/>
  </si>
  <si>
    <t>審判員または協力役員(１名以上)
のお名前を入力して下さい⇒</t>
    <rPh sb="0" eb="3">
      <t>シンパンイン</t>
    </rPh>
    <rPh sb="6" eb="8">
      <t>キョウリョク</t>
    </rPh>
    <rPh sb="8" eb="10">
      <t>ヤクイン</t>
    </rPh>
    <rPh sb="12" eb="15">
      <t>メイイジョウ</t>
    </rPh>
    <rPh sb="19" eb="21">
      <t>ナマエ</t>
    </rPh>
    <rPh sb="22" eb="24">
      <t>ニュウリョク</t>
    </rPh>
    <rPh sb="26" eb="27">
      <t>クダ</t>
    </rPh>
    <phoneticPr fontId="2"/>
  </si>
  <si>
    <t>第69回松本市市民スポーツ大会『春季大会』</t>
    <rPh sb="0" eb="1">
      <t>ダイ</t>
    </rPh>
    <rPh sb="3" eb="4">
      <t>カイ</t>
    </rPh>
    <rPh sb="4" eb="7">
      <t>マツモトシ</t>
    </rPh>
    <rPh sb="7" eb="9">
      <t>シミン</t>
    </rPh>
    <rPh sb="13" eb="15">
      <t>タイカイ</t>
    </rPh>
    <rPh sb="16" eb="18">
      <t>シュンキ</t>
    </rPh>
    <rPh sb="18" eb="20">
      <t>タイカイ</t>
    </rPh>
    <phoneticPr fontId="2"/>
  </si>
  <si>
    <t>ファイル名は26MatsuShunki_○○○にして下さい。（下記参照）</t>
    <rPh sb="4" eb="5">
      <t>メイ</t>
    </rPh>
    <rPh sb="26" eb="27">
      <t>クダ</t>
    </rPh>
    <rPh sb="31" eb="33">
      <t>カキ</t>
    </rPh>
    <rPh sb="33" eb="35">
      <t>サンショウ</t>
    </rPh>
    <phoneticPr fontId="2"/>
  </si>
  <si>
    <t>ダウンロード時のファイル名は「26MatsuShunki_entryfile」となっているので、「entryfile」の部分を消去して、</t>
    <rPh sb="6" eb="7">
      <t>ジ</t>
    </rPh>
    <rPh sb="60" eb="62">
      <t>ブブン</t>
    </rPh>
    <rPh sb="63" eb="65">
      <t>ショウキョ</t>
    </rPh>
    <phoneticPr fontId="2"/>
  </si>
  <si>
    <t>（例：26MatsuShunki_entryfile を 26MatsuShunki_松本中 に変更　”中”まで記入してください　”学校”は記入しないで下さい）</t>
    <rPh sb="1" eb="2">
      <t>レイ</t>
    </rPh>
    <rPh sb="43" eb="45">
      <t>マツモト</t>
    </rPh>
    <rPh sb="45" eb="46">
      <t>チュウ</t>
    </rPh>
    <rPh sb="46" eb="47">
      <t>チュウコウ</t>
    </rPh>
    <rPh sb="48" eb="50">
      <t>ヘンコウ</t>
    </rPh>
    <rPh sb="52" eb="53">
      <t>チュウ</t>
    </rPh>
    <rPh sb="56" eb="58">
      <t>キニュウ</t>
    </rPh>
    <rPh sb="66" eb="68">
      <t>ガッコウ</t>
    </rPh>
    <rPh sb="70" eb="72">
      <t>キニュウ</t>
    </rPh>
    <rPh sb="76" eb="77">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</si>
</sst>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quot;#,##0;[Red]&quot;¥&quot;#,##0"/>
    <numFmt numFmtId="177" formatCode="0_ "/>
    <numFmt numFmtId="178" formatCode="#,##0;[Red]#,##0"/>
  </numFmts>
  <fonts count="4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Meiryo UI"/>
      <family val="3"/>
      <charset val="128"/>
    </font>
    <font>
      <sz val="16"/>
      <color indexed="8"/>
      <name val="Meiryo UI"/>
      <family val="3"/>
      <charset val="128"/>
    </font>
    <font>
      <sz val="11"/>
      <name val="Meiryo UI"/>
      <family val="3"/>
      <charset val="128"/>
    </font>
    <font>
      <u/>
      <sz val="11"/>
      <color indexed="10"/>
      <name val="Meiryo UI"/>
      <family val="3"/>
      <charset val="128"/>
    </font>
    <font>
      <sz val="11"/>
      <color indexed="10"/>
      <name val="Meiryo UI"/>
      <family val="3"/>
      <charset val="128"/>
    </font>
    <font>
      <sz val="9"/>
      <name val="Meiryo UI"/>
      <family val="3"/>
      <charset val="128"/>
    </font>
    <font>
      <b/>
      <sz val="12"/>
      <color indexed="8"/>
      <name val="Meiryo UI"/>
      <family val="3"/>
      <charset val="128"/>
    </font>
    <font>
      <sz val="10"/>
      <color indexed="8"/>
      <name val="Meiryo UI"/>
      <family val="3"/>
      <charset val="128"/>
    </font>
    <font>
      <b/>
      <sz val="14"/>
      <color indexed="9"/>
      <name val="Meiryo UI"/>
      <family val="3"/>
      <charset val="128"/>
    </font>
    <font>
      <sz val="11"/>
      <color indexed="9"/>
      <name val="Meiryo UI"/>
      <family val="3"/>
      <charset val="128"/>
    </font>
    <font>
      <b/>
      <sz val="14"/>
      <color indexed="8"/>
      <name val="Meiryo UI"/>
      <family val="3"/>
      <charset val="128"/>
    </font>
    <font>
      <b/>
      <sz val="14"/>
      <name val="Meiryo UI"/>
      <family val="3"/>
      <charset val="128"/>
    </font>
    <font>
      <b/>
      <sz val="14"/>
      <color indexed="14"/>
      <name val="Meiryo UI"/>
      <family val="3"/>
      <charset val="128"/>
    </font>
    <font>
      <sz val="9"/>
      <color indexed="8"/>
      <name val="Meiryo UI"/>
      <family val="3"/>
      <charset val="128"/>
    </font>
    <font>
      <sz val="6"/>
      <color indexed="8"/>
      <name val="Meiryo UI"/>
      <family val="3"/>
      <charset val="128"/>
    </font>
    <font>
      <b/>
      <sz val="14"/>
      <color indexed="21"/>
      <name val="Meiryo UI"/>
      <family val="3"/>
      <charset val="128"/>
    </font>
    <font>
      <b/>
      <sz val="16"/>
      <color indexed="8"/>
      <name val="Meiryo UI"/>
      <family val="3"/>
      <charset val="128"/>
    </font>
    <font>
      <b/>
      <sz val="18"/>
      <color indexed="8"/>
      <name val="Meiryo UI"/>
      <family val="3"/>
      <charset val="128"/>
    </font>
    <font>
      <sz val="8"/>
      <color indexed="8"/>
      <name val="Meiryo UI"/>
      <family val="3"/>
      <charset val="128"/>
    </font>
    <font>
      <sz val="12"/>
      <color indexed="8"/>
      <name val="Meiryo UI"/>
      <family val="3"/>
      <charset val="128"/>
    </font>
    <font>
      <sz val="7"/>
      <color indexed="8"/>
      <name val="Meiryo UI"/>
      <family val="3"/>
      <charset val="128"/>
    </font>
    <font>
      <sz val="11"/>
      <color theme="1"/>
      <name val="ＭＳ Ｐゴシック"/>
      <family val="3"/>
      <charset val="128"/>
      <scheme val="minor"/>
    </font>
    <font>
      <sz val="11"/>
      <color theme="1"/>
      <name val="Meiryo UI"/>
      <family val="3"/>
      <charset val="128"/>
    </font>
    <font>
      <b/>
      <sz val="18"/>
      <color theme="0"/>
      <name val="Meiryo UI"/>
      <family val="3"/>
      <charset val="128"/>
    </font>
    <font>
      <b/>
      <sz val="11"/>
      <color theme="0"/>
      <name val="Meiryo UI"/>
      <family val="3"/>
      <charset val="128"/>
    </font>
    <font>
      <sz val="11"/>
      <color rgb="FFC00000"/>
      <name val="Meiryo UI"/>
      <family val="3"/>
      <charset val="128"/>
    </font>
    <font>
      <b/>
      <sz val="11"/>
      <color rgb="FF0000CC"/>
      <name val="Meiryo UI"/>
      <family val="3"/>
      <charset val="128"/>
    </font>
    <font>
      <sz val="11"/>
      <color rgb="FFFF0000"/>
      <name val="Meiryo UI"/>
      <family val="3"/>
      <charset val="128"/>
    </font>
    <font>
      <sz val="16"/>
      <color theme="0"/>
      <name val="Meiryo UI"/>
      <family val="3"/>
      <charset val="128"/>
    </font>
    <font>
      <sz val="9"/>
      <color theme="1"/>
      <name val="Meiryo UI"/>
      <family val="3"/>
      <charset val="128"/>
    </font>
    <font>
      <sz val="11"/>
      <color theme="0"/>
      <name val="Meiryo UI"/>
      <family val="3"/>
      <charset val="128"/>
    </font>
    <font>
      <b/>
      <sz val="16"/>
      <color rgb="FFFF0000"/>
      <name val="Meiryo UI"/>
      <family val="3"/>
      <charset val="128"/>
    </font>
    <font>
      <sz val="16"/>
      <color theme="1"/>
      <name val="Meiryo UI"/>
      <family val="3"/>
      <charset val="128"/>
    </font>
    <font>
      <b/>
      <sz val="16"/>
      <color rgb="FF0070C0"/>
      <name val="Meiryo UI"/>
      <family val="3"/>
      <charset val="128"/>
    </font>
    <font>
      <b/>
      <sz val="13"/>
      <color rgb="FFFF0000"/>
      <name val="Meiryo UI"/>
      <family val="3"/>
      <charset val="128"/>
    </font>
    <font>
      <b/>
      <sz val="12"/>
      <name val="Meiryo UI"/>
      <family val="3"/>
      <charset val="128"/>
    </font>
    <font>
      <sz val="10"/>
      <color theme="0"/>
      <name val="Meiryo UI"/>
      <family val="3"/>
      <charset val="128"/>
    </font>
    <font>
      <sz val="9"/>
      <color rgb="FFFF0000"/>
      <name val="Meiryo UI"/>
      <family val="3"/>
      <charset val="128"/>
    </font>
  </fonts>
  <fills count="1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indexed="9"/>
        <bgColor indexed="64"/>
      </patternFill>
    </fill>
    <fill>
      <patternFill patternType="solid">
        <fgColor indexed="47"/>
        <bgColor indexed="64"/>
      </patternFill>
    </fill>
    <fill>
      <patternFill patternType="solid">
        <fgColor rgb="FFC00000"/>
        <bgColor indexed="64"/>
      </patternFill>
    </fill>
    <fill>
      <patternFill patternType="solid">
        <fgColor rgb="FFCCFFFF"/>
        <bgColor indexed="64"/>
      </patternFill>
    </fill>
    <fill>
      <patternFill patternType="solid">
        <fgColor rgb="FFFFCCFF"/>
        <bgColor indexed="64"/>
      </patternFill>
    </fill>
    <fill>
      <patternFill patternType="solid">
        <fgColor rgb="FFCCFFCC"/>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99"/>
        <bgColor indexed="64"/>
      </patternFill>
    </fill>
    <fill>
      <patternFill patternType="solid">
        <fgColor rgb="FF66FFFF"/>
        <bgColor indexed="64"/>
      </patternFill>
    </fill>
    <fill>
      <patternFill patternType="solid">
        <fgColor rgb="FF00B0F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thin">
        <color indexed="64"/>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top/>
      <bottom style="double">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26" fillId="0" borderId="0">
      <alignment vertical="center"/>
    </xf>
  </cellStyleXfs>
  <cellXfs count="265">
    <xf numFmtId="0" fontId="0" fillId="0" borderId="0" xfId="0">
      <alignment vertical="center"/>
    </xf>
    <xf numFmtId="0" fontId="5" fillId="0" borderId="0" xfId="0" applyFont="1">
      <alignment vertical="center"/>
    </xf>
    <xf numFmtId="0" fontId="5" fillId="2" borderId="0" xfId="0" applyFont="1" applyFill="1">
      <alignment vertical="center"/>
    </xf>
    <xf numFmtId="0" fontId="27" fillId="0" borderId="0" xfId="0" applyFont="1">
      <alignment vertical="center"/>
    </xf>
    <xf numFmtId="0" fontId="5" fillId="0" borderId="0" xfId="0" applyFont="1" applyAlignment="1">
      <alignment horizontal="left" vertical="center"/>
    </xf>
    <xf numFmtId="0" fontId="28" fillId="9" borderId="0" xfId="0" applyFont="1" applyFill="1" applyAlignment="1">
      <alignment horizontal="center" vertical="center"/>
    </xf>
    <xf numFmtId="0" fontId="29" fillId="9" borderId="0" xfId="0" applyFont="1" applyFill="1" applyAlignment="1">
      <alignment horizontal="left" vertical="center"/>
    </xf>
    <xf numFmtId="0" fontId="30" fillId="0" borderId="0" xfId="0" applyFont="1">
      <alignment vertical="center"/>
    </xf>
    <xf numFmtId="0" fontId="7" fillId="0" borderId="0" xfId="0" applyFont="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27" fillId="0" borderId="0" xfId="0" applyFont="1" applyAlignment="1">
      <alignment vertical="center" wrapText="1"/>
    </xf>
    <xf numFmtId="0" fontId="27"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xf>
    <xf numFmtId="0" fontId="27" fillId="0" borderId="1" xfId="0" applyFont="1" applyBorder="1" applyAlignment="1">
      <alignment horizontal="center" vertical="center"/>
    </xf>
    <xf numFmtId="0" fontId="34" fillId="0" borderId="3" xfId="0" applyFont="1" applyBorder="1" applyAlignment="1">
      <alignment horizontal="center" vertical="center" wrapText="1"/>
    </xf>
    <xf numFmtId="0" fontId="12" fillId="0" borderId="2" xfId="0" applyFont="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left" vertical="center"/>
    </xf>
    <xf numFmtId="0" fontId="11" fillId="0" borderId="0" xfId="0" applyFont="1" applyAlignment="1">
      <alignment vertical="top" wrapText="1"/>
    </xf>
    <xf numFmtId="0" fontId="9" fillId="0" borderId="0" xfId="0" applyFont="1">
      <alignment vertical="center"/>
    </xf>
    <xf numFmtId="0" fontId="12" fillId="0" borderId="4" xfId="0" applyFont="1" applyBorder="1" applyAlignment="1">
      <alignment horizontal="center" vertical="center"/>
    </xf>
    <xf numFmtId="0" fontId="14" fillId="0" borderId="0" xfId="0" applyFont="1">
      <alignment vertical="center"/>
    </xf>
    <xf numFmtId="0" fontId="27" fillId="0" borderId="5" xfId="0" applyFont="1" applyBorder="1" applyAlignment="1">
      <alignment horizontal="center" vertical="center"/>
    </xf>
    <xf numFmtId="0" fontId="12" fillId="0" borderId="6" xfId="0" applyFont="1" applyBorder="1" applyAlignment="1">
      <alignment horizontal="center" vertical="center"/>
    </xf>
    <xf numFmtId="0" fontId="7" fillId="0" borderId="0" xfId="0" applyFont="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176" fontId="27" fillId="0" borderId="10" xfId="0" applyNumberFormat="1" applyFont="1" applyBorder="1" applyAlignment="1">
      <alignment horizontal="center" vertical="center"/>
    </xf>
    <xf numFmtId="5" fontId="27" fillId="0" borderId="8" xfId="0" applyNumberFormat="1" applyFont="1" applyBorder="1" applyAlignment="1">
      <alignment horizontal="center" vertical="center"/>
    </xf>
    <xf numFmtId="176" fontId="27" fillId="0" borderId="9" xfId="0" applyNumberFormat="1" applyFont="1" applyBorder="1" applyAlignment="1">
      <alignment horizontal="center" vertical="center"/>
    </xf>
    <xf numFmtId="0" fontId="35" fillId="0" borderId="0" xfId="0" applyFont="1" applyAlignment="1">
      <alignment horizontal="center" vertical="center"/>
    </xf>
    <xf numFmtId="0" fontId="27" fillId="0" borderId="7"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27" fillId="0" borderId="2" xfId="0" applyFont="1" applyBorder="1">
      <alignment vertical="center"/>
    </xf>
    <xf numFmtId="0" fontId="10" fillId="10" borderId="7" xfId="0" applyFont="1" applyFill="1" applyBorder="1" applyAlignment="1">
      <alignment horizontal="center" vertical="center" wrapText="1"/>
    </xf>
    <xf numFmtId="0" fontId="18" fillId="11" borderId="7" xfId="0" applyFont="1" applyFill="1" applyBorder="1" applyAlignment="1">
      <alignment horizontal="center" vertical="center" wrapText="1"/>
    </xf>
    <xf numFmtId="0" fontId="18" fillId="10" borderId="7" xfId="0" applyFont="1" applyFill="1" applyBorder="1" applyAlignment="1">
      <alignment horizontal="center" vertical="center"/>
    </xf>
    <xf numFmtId="0" fontId="18" fillId="11" borderId="7" xfId="0" applyFont="1" applyFill="1" applyBorder="1" applyAlignment="1">
      <alignment horizontal="center" vertical="center"/>
    </xf>
    <xf numFmtId="0" fontId="10" fillId="11" borderId="4" xfId="0" applyFont="1" applyFill="1" applyBorder="1" applyAlignment="1">
      <alignment horizontal="center" vertical="center" wrapText="1"/>
    </xf>
    <xf numFmtId="0" fontId="19" fillId="3" borderId="11" xfId="0" applyFont="1" applyFill="1" applyBorder="1" applyAlignment="1">
      <alignment vertical="center" wrapText="1"/>
    </xf>
    <xf numFmtId="49" fontId="27" fillId="12" borderId="12" xfId="0" applyNumberFormat="1" applyFont="1" applyFill="1" applyBorder="1">
      <alignment vertical="center"/>
    </xf>
    <xf numFmtId="0" fontId="27" fillId="0" borderId="14" xfId="0" applyFont="1" applyBorder="1">
      <alignment vertical="center"/>
    </xf>
    <xf numFmtId="0" fontId="27" fillId="0" borderId="15" xfId="0" applyFont="1" applyBorder="1">
      <alignment vertical="center"/>
    </xf>
    <xf numFmtId="0" fontId="20" fillId="0" borderId="1" xfId="0" applyFont="1" applyBorder="1" applyAlignment="1">
      <alignment horizontal="center" vertical="center"/>
    </xf>
    <xf numFmtId="0" fontId="20" fillId="0" borderId="13" xfId="0" applyFont="1" applyBorder="1" applyAlignment="1">
      <alignment horizontal="center" vertical="center"/>
    </xf>
    <xf numFmtId="0" fontId="21" fillId="13" borderId="1" xfId="0" applyFont="1" applyFill="1" applyBorder="1" applyAlignment="1">
      <alignment horizontal="center" vertical="center"/>
    </xf>
    <xf numFmtId="0" fontId="21" fillId="13" borderId="13" xfId="0" applyFont="1" applyFill="1" applyBorder="1" applyAlignment="1">
      <alignment horizontal="center" vertical="center"/>
    </xf>
    <xf numFmtId="0" fontId="27" fillId="0" borderId="16" xfId="0" applyFont="1" applyBorder="1">
      <alignment vertical="center"/>
    </xf>
    <xf numFmtId="0" fontId="27" fillId="0" borderId="17" xfId="0" applyFont="1" applyBorder="1">
      <alignment vertical="center"/>
    </xf>
    <xf numFmtId="0" fontId="22" fillId="13" borderId="1" xfId="0" applyFont="1" applyFill="1" applyBorder="1" applyAlignment="1">
      <alignment horizontal="center" vertical="center"/>
    </xf>
    <xf numFmtId="0" fontId="22" fillId="13" borderId="13" xfId="0" applyFont="1" applyFill="1" applyBorder="1" applyAlignment="1">
      <alignment horizontal="center" vertical="center"/>
    </xf>
    <xf numFmtId="0" fontId="27" fillId="3" borderId="1" xfId="0" applyFont="1" applyFill="1" applyBorder="1" applyProtection="1">
      <alignment vertical="center"/>
      <protection locked="0"/>
    </xf>
    <xf numFmtId="0" fontId="7" fillId="0" borderId="18" xfId="0" applyFont="1" applyBorder="1">
      <alignment vertical="center"/>
    </xf>
    <xf numFmtId="0" fontId="7" fillId="0" borderId="1" xfId="0" applyFont="1" applyBorder="1">
      <alignment vertical="center"/>
    </xf>
    <xf numFmtId="0" fontId="14" fillId="7" borderId="0" xfId="0" applyFont="1" applyFill="1">
      <alignment vertical="center"/>
    </xf>
    <xf numFmtId="0" fontId="32" fillId="0" borderId="3" xfId="0" applyFont="1" applyBorder="1">
      <alignment vertical="center"/>
    </xf>
    <xf numFmtId="0" fontId="7" fillId="0" borderId="3" xfId="0" applyFont="1" applyBorder="1">
      <alignment vertical="center"/>
    </xf>
    <xf numFmtId="0" fontId="10" fillId="0" borderId="0" xfId="0" applyFont="1">
      <alignment vertical="center"/>
    </xf>
    <xf numFmtId="49" fontId="27" fillId="12" borderId="8" xfId="0" applyNumberFormat="1" applyFont="1" applyFill="1" applyBorder="1">
      <alignment vertical="center"/>
    </xf>
    <xf numFmtId="0" fontId="21" fillId="13" borderId="2" xfId="0" applyFont="1" applyFill="1" applyBorder="1" applyAlignment="1">
      <alignment horizontal="center" vertical="center"/>
    </xf>
    <xf numFmtId="0" fontId="21" fillId="13" borderId="9" xfId="0" applyFont="1" applyFill="1" applyBorder="1" applyAlignment="1">
      <alignment horizontal="center" vertical="center"/>
    </xf>
    <xf numFmtId="0" fontId="20" fillId="0" borderId="2" xfId="0" applyFont="1" applyBorder="1" applyAlignment="1">
      <alignment horizontal="center" vertical="center"/>
    </xf>
    <xf numFmtId="0" fontId="22" fillId="13" borderId="2" xfId="0" applyFont="1" applyFill="1" applyBorder="1" applyAlignment="1">
      <alignment horizontal="center" vertical="center"/>
    </xf>
    <xf numFmtId="0" fontId="22" fillId="13" borderId="9" xfId="0" applyFont="1" applyFill="1" applyBorder="1" applyAlignment="1">
      <alignment horizontal="center" vertical="center"/>
    </xf>
    <xf numFmtId="0" fontId="27" fillId="0" borderId="19" xfId="0" applyFont="1" applyBorder="1">
      <alignment vertical="center"/>
    </xf>
    <xf numFmtId="0" fontId="27" fillId="0" borderId="20" xfId="0" applyFont="1" applyBorder="1">
      <alignment vertical="center"/>
    </xf>
    <xf numFmtId="0" fontId="27" fillId="3" borderId="2" xfId="0" applyFont="1" applyFill="1" applyBorder="1" applyProtection="1">
      <alignment vertical="center"/>
      <protection locked="0"/>
    </xf>
    <xf numFmtId="0" fontId="27" fillId="3" borderId="7" xfId="0" applyFont="1" applyFill="1" applyBorder="1" applyProtection="1">
      <alignment vertical="center"/>
      <protection locked="0"/>
    </xf>
    <xf numFmtId="49" fontId="27" fillId="0" borderId="0" xfId="0" applyNumberFormat="1" applyFont="1">
      <alignment vertical="center"/>
    </xf>
    <xf numFmtId="49" fontId="27" fillId="0" borderId="0" xfId="0" applyNumberFormat="1" applyFont="1" applyAlignment="1">
      <alignment horizontal="center" vertical="center"/>
    </xf>
    <xf numFmtId="49" fontId="22" fillId="0" borderId="0" xfId="0" applyNumberFormat="1" applyFont="1" applyAlignment="1">
      <alignment horizontal="center" vertical="center"/>
    </xf>
    <xf numFmtId="49" fontId="27" fillId="0" borderId="0" xfId="0" applyNumberFormat="1" applyFont="1" applyAlignment="1">
      <alignment vertical="center" wrapText="1"/>
    </xf>
    <xf numFmtId="0" fontId="12" fillId="3" borderId="11" xfId="0" applyFont="1" applyFill="1" applyBorder="1" applyAlignment="1">
      <alignment vertical="center" wrapText="1"/>
    </xf>
    <xf numFmtId="0" fontId="27" fillId="0" borderId="0" xfId="0" applyFont="1" applyAlignment="1">
      <alignment vertical="top" wrapText="1"/>
    </xf>
    <xf numFmtId="177" fontId="27" fillId="0" borderId="10" xfId="0" applyNumberFormat="1" applyFont="1" applyBorder="1" applyAlignment="1">
      <alignment horizontal="center" vertical="center"/>
    </xf>
    <xf numFmtId="178" fontId="27" fillId="0" borderId="10" xfId="0" applyNumberFormat="1" applyFont="1" applyBorder="1" applyAlignment="1">
      <alignment horizontal="center" vertical="center"/>
    </xf>
    <xf numFmtId="0" fontId="27" fillId="0" borderId="0" xfId="0" applyFont="1" applyAlignment="1">
      <alignment vertical="top"/>
    </xf>
    <xf numFmtId="0" fontId="27" fillId="0" borderId="21" xfId="0" applyFont="1" applyBorder="1" applyAlignment="1">
      <alignment vertical="center" wrapText="1"/>
    </xf>
    <xf numFmtId="0" fontId="27" fillId="0" borderId="22" xfId="0" applyFont="1" applyBorder="1" applyAlignment="1">
      <alignment vertical="center" wrapText="1"/>
    </xf>
    <xf numFmtId="0" fontId="11" fillId="0" borderId="0" xfId="0" applyFont="1">
      <alignment vertical="center"/>
    </xf>
    <xf numFmtId="0" fontId="23" fillId="0" borderId="0" xfId="0" applyFont="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27" fillId="15" borderId="25" xfId="0" applyFont="1" applyFill="1" applyBorder="1" applyAlignment="1" applyProtection="1">
      <alignment horizontal="center" vertical="center"/>
      <protection locked="0"/>
    </xf>
    <xf numFmtId="0" fontId="27" fillId="15" borderId="26" xfId="0" applyFont="1" applyFill="1" applyBorder="1" applyProtection="1">
      <alignment vertical="center"/>
      <protection locked="0"/>
    </xf>
    <xf numFmtId="0" fontId="27" fillId="15" borderId="27" xfId="0" applyFont="1" applyFill="1" applyBorder="1" applyAlignment="1" applyProtection="1">
      <alignment horizontal="center" vertical="center"/>
      <protection locked="0"/>
    </xf>
    <xf numFmtId="0" fontId="27" fillId="15" borderId="28" xfId="0" applyFont="1" applyFill="1" applyBorder="1" applyProtection="1">
      <alignment vertical="center"/>
      <protection locked="0"/>
    </xf>
    <xf numFmtId="0" fontId="7" fillId="6" borderId="0" xfId="0" applyFont="1" applyFill="1">
      <alignment vertical="center"/>
    </xf>
    <xf numFmtId="0" fontId="27" fillId="12" borderId="0" xfId="0" applyFont="1" applyFill="1">
      <alignment vertical="center"/>
    </xf>
    <xf numFmtId="0" fontId="7" fillId="12" borderId="0" xfId="0" applyFont="1" applyFill="1">
      <alignment vertical="center"/>
    </xf>
    <xf numFmtId="0" fontId="11" fillId="3" borderId="10" xfId="0" applyFont="1" applyFill="1" applyBorder="1" applyAlignment="1" applyProtection="1">
      <alignment horizontal="center" vertical="center" wrapText="1"/>
      <protection locked="0"/>
    </xf>
    <xf numFmtId="0" fontId="11" fillId="3" borderId="29" xfId="0" applyFont="1" applyFill="1" applyBorder="1" applyAlignment="1">
      <alignment horizontal="center" vertical="center" wrapText="1"/>
    </xf>
    <xf numFmtId="0" fontId="27" fillId="15" borderId="30" xfId="0" applyFont="1" applyFill="1" applyBorder="1" applyAlignment="1" applyProtection="1">
      <alignment horizontal="center" vertical="center"/>
      <protection locked="0"/>
    </xf>
    <xf numFmtId="0" fontId="27" fillId="15" borderId="31" xfId="0" applyFont="1" applyFill="1" applyBorder="1" applyProtection="1">
      <alignment vertical="center"/>
      <protection locked="0"/>
    </xf>
    <xf numFmtId="0" fontId="27" fillId="15" borderId="32" xfId="0" applyFont="1" applyFill="1" applyBorder="1" applyAlignment="1" applyProtection="1">
      <alignment horizontal="center" vertical="center"/>
      <protection locked="0"/>
    </xf>
    <xf numFmtId="0" fontId="27" fillId="15" borderId="33" xfId="0" applyFont="1" applyFill="1" applyBorder="1" applyProtection="1">
      <alignment vertical="center"/>
      <protection locked="0"/>
    </xf>
    <xf numFmtId="0" fontId="14" fillId="0" borderId="0" xfId="0" applyFont="1" applyAlignment="1">
      <alignment vertical="center" wrapText="1" shrinkToFit="1"/>
    </xf>
    <xf numFmtId="0" fontId="27" fillId="0" borderId="34" xfId="0" applyFont="1" applyBorder="1" applyAlignment="1">
      <alignment horizontal="center" vertical="center" wrapText="1"/>
    </xf>
    <xf numFmtId="0" fontId="11" fillId="0" borderId="5" xfId="0" applyFont="1" applyBorder="1" applyAlignment="1">
      <alignment horizontal="center" vertical="center" wrapText="1"/>
    </xf>
    <xf numFmtId="0" fontId="27" fillId="15" borderId="35" xfId="0" applyFont="1" applyFill="1" applyBorder="1" applyAlignment="1" applyProtection="1">
      <alignment horizontal="center" vertical="center"/>
      <protection locked="0"/>
    </xf>
    <xf numFmtId="0" fontId="27" fillId="15" borderId="36" xfId="0" applyFont="1" applyFill="1" applyBorder="1" applyProtection="1">
      <alignment vertical="center"/>
      <protection locked="0"/>
    </xf>
    <xf numFmtId="0" fontId="27" fillId="15" borderId="37" xfId="0" applyFont="1" applyFill="1" applyBorder="1" applyAlignment="1" applyProtection="1">
      <alignment horizontal="center" vertical="center"/>
      <protection locked="0"/>
    </xf>
    <xf numFmtId="0" fontId="27" fillId="15" borderId="38" xfId="0" applyFont="1" applyFill="1" applyBorder="1" applyProtection="1">
      <alignment vertical="center"/>
      <protection locked="0"/>
    </xf>
    <xf numFmtId="0" fontId="24" fillId="3" borderId="10" xfId="0" applyFont="1" applyFill="1" applyBorder="1" applyAlignment="1" applyProtection="1">
      <alignment horizontal="center" vertical="center"/>
      <protection locked="0"/>
    </xf>
    <xf numFmtId="0" fontId="27" fillId="15" borderId="40" xfId="0" applyFont="1" applyFill="1" applyBorder="1" applyAlignment="1" applyProtection="1">
      <alignment horizontal="center" vertical="center"/>
      <protection locked="0"/>
    </xf>
    <xf numFmtId="0" fontId="27" fillId="15" borderId="41" xfId="0" applyFont="1" applyFill="1" applyBorder="1" applyProtection="1">
      <alignment vertical="center"/>
      <protection locked="0"/>
    </xf>
    <xf numFmtId="0" fontId="27" fillId="15" borderId="42" xfId="0" applyFont="1" applyFill="1" applyBorder="1" applyAlignment="1" applyProtection="1">
      <alignment horizontal="center" vertical="center"/>
      <protection locked="0"/>
    </xf>
    <xf numFmtId="0" fontId="27" fillId="15" borderId="43" xfId="0" applyFont="1" applyFill="1" applyBorder="1" applyProtection="1">
      <alignment vertical="center"/>
      <protection locked="0"/>
    </xf>
    <xf numFmtId="0" fontId="27" fillId="3" borderId="25" xfId="0" applyFont="1" applyFill="1" applyBorder="1" applyAlignment="1" applyProtection="1">
      <alignment horizontal="center" vertical="center"/>
      <protection locked="0"/>
    </xf>
    <xf numFmtId="0" fontId="27" fillId="3" borderId="26" xfId="0" applyFont="1" applyFill="1" applyBorder="1" applyProtection="1">
      <alignment vertical="center"/>
      <protection locked="0"/>
    </xf>
    <xf numFmtId="0" fontId="27" fillId="3" borderId="27" xfId="0" applyFont="1" applyFill="1" applyBorder="1" applyAlignment="1" applyProtection="1">
      <alignment horizontal="center" vertical="center"/>
      <protection locked="0"/>
    </xf>
    <xf numFmtId="0" fontId="27" fillId="3" borderId="28" xfId="0" applyFont="1" applyFill="1" applyBorder="1" applyProtection="1">
      <alignment vertical="center"/>
      <protection locked="0"/>
    </xf>
    <xf numFmtId="0" fontId="11" fillId="3" borderId="44" xfId="0" applyFont="1" applyFill="1" applyBorder="1" applyAlignment="1" applyProtection="1">
      <alignment horizontal="center" vertical="center" wrapText="1"/>
      <protection locked="0"/>
    </xf>
    <xf numFmtId="0" fontId="11" fillId="3" borderId="45" xfId="0" applyFont="1" applyFill="1" applyBorder="1" applyAlignment="1" applyProtection="1">
      <alignment horizontal="center" vertical="center" wrapText="1"/>
      <protection locked="0"/>
    </xf>
    <xf numFmtId="0" fontId="27" fillId="4" borderId="30" xfId="0" applyFont="1" applyFill="1" applyBorder="1" applyAlignment="1" applyProtection="1">
      <alignment horizontal="center" vertical="center"/>
      <protection locked="0"/>
    </xf>
    <xf numFmtId="0" fontId="27" fillId="3" borderId="31" xfId="0" applyFont="1" applyFill="1" applyBorder="1" applyProtection="1">
      <alignment vertical="center"/>
      <protection locked="0"/>
    </xf>
    <xf numFmtId="0" fontId="27" fillId="4" borderId="32" xfId="0" applyFont="1" applyFill="1" applyBorder="1" applyAlignment="1" applyProtection="1">
      <alignment horizontal="center" vertical="center"/>
      <protection locked="0"/>
    </xf>
    <xf numFmtId="0" fontId="27" fillId="3" borderId="33" xfId="0" applyFont="1" applyFill="1" applyBorder="1" applyProtection="1">
      <alignment vertical="center"/>
      <protection locked="0"/>
    </xf>
    <xf numFmtId="0" fontId="27" fillId="3" borderId="35" xfId="0" applyFont="1" applyFill="1" applyBorder="1" applyAlignment="1" applyProtection="1">
      <alignment horizontal="center" vertical="center"/>
      <protection locked="0"/>
    </xf>
    <xf numFmtId="0" fontId="27" fillId="3" borderId="36" xfId="0" applyFont="1" applyFill="1" applyBorder="1" applyProtection="1">
      <alignment vertical="center"/>
      <protection locked="0"/>
    </xf>
    <xf numFmtId="0" fontId="27" fillId="3" borderId="37" xfId="0" applyFont="1" applyFill="1" applyBorder="1" applyAlignment="1" applyProtection="1">
      <alignment horizontal="center" vertical="center"/>
      <protection locked="0"/>
    </xf>
    <xf numFmtId="0" fontId="27" fillId="3" borderId="38" xfId="0" applyFont="1" applyFill="1" applyBorder="1" applyProtection="1">
      <alignment vertical="center"/>
      <protection locked="0"/>
    </xf>
    <xf numFmtId="0" fontId="12" fillId="4" borderId="39"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27" fillId="4" borderId="40" xfId="0" applyFont="1" applyFill="1" applyBorder="1" applyAlignment="1" applyProtection="1">
      <alignment horizontal="center" vertical="center"/>
      <protection locked="0"/>
    </xf>
    <xf numFmtId="0" fontId="27" fillId="3" borderId="41" xfId="0" applyFont="1" applyFill="1" applyBorder="1" applyProtection="1">
      <alignment vertical="center"/>
      <protection locked="0"/>
    </xf>
    <xf numFmtId="0" fontId="27" fillId="4" borderId="42" xfId="0" applyFont="1" applyFill="1" applyBorder="1" applyAlignment="1" applyProtection="1">
      <alignment horizontal="center" vertical="center"/>
      <protection locked="0"/>
    </xf>
    <xf numFmtId="0" fontId="27" fillId="3" borderId="43" xfId="0" applyFont="1" applyFill="1" applyBorder="1" applyProtection="1">
      <alignment vertical="center"/>
      <protection locked="0"/>
    </xf>
    <xf numFmtId="0" fontId="25" fillId="0" borderId="46" xfId="0" applyFont="1" applyBorder="1" applyAlignment="1">
      <alignment horizontal="center" vertical="center" wrapText="1"/>
    </xf>
    <xf numFmtId="0" fontId="25" fillId="0" borderId="47" xfId="0" applyFont="1" applyBorder="1" applyAlignment="1">
      <alignment horizontal="center" vertical="center" wrapText="1"/>
    </xf>
    <xf numFmtId="0" fontId="27" fillId="3" borderId="1" xfId="0" applyFont="1" applyFill="1" applyBorder="1" applyAlignment="1" applyProtection="1">
      <alignment horizontal="center" vertical="center" wrapText="1"/>
      <protection locked="0"/>
    </xf>
    <xf numFmtId="0" fontId="27" fillId="5" borderId="7" xfId="0" applyFont="1" applyFill="1" applyBorder="1">
      <alignment vertical="center"/>
    </xf>
    <xf numFmtId="0" fontId="27" fillId="5" borderId="4" xfId="0" applyFont="1" applyFill="1" applyBorder="1" applyAlignment="1">
      <alignment horizontal="center" vertical="center"/>
    </xf>
    <xf numFmtId="0" fontId="27" fillId="5" borderId="2" xfId="0" applyFont="1" applyFill="1" applyBorder="1">
      <alignment vertical="center"/>
    </xf>
    <xf numFmtId="0" fontId="27" fillId="5" borderId="9" xfId="0" applyFont="1" applyFill="1" applyBorder="1" applyAlignment="1">
      <alignment horizontal="center" vertical="center"/>
    </xf>
    <xf numFmtId="0" fontId="27" fillId="3" borderId="7" xfId="0" applyFont="1" applyFill="1" applyBorder="1" applyAlignment="1" applyProtection="1">
      <alignment horizontal="center" vertical="center" wrapText="1"/>
      <protection locked="0"/>
    </xf>
    <xf numFmtId="0" fontId="36" fillId="0" borderId="0" xfId="0" applyFont="1" applyAlignment="1">
      <alignment vertical="center" wrapText="1" shrinkToFit="1"/>
    </xf>
    <xf numFmtId="0" fontId="27" fillId="5" borderId="7" xfId="0" applyFont="1" applyFill="1" applyBorder="1" applyAlignment="1">
      <alignment horizontal="center" vertical="center"/>
    </xf>
    <xf numFmtId="0" fontId="27" fillId="5" borderId="2" xfId="0" applyFont="1" applyFill="1" applyBorder="1" applyAlignment="1">
      <alignment horizontal="center" vertical="center"/>
    </xf>
    <xf numFmtId="0" fontId="38" fillId="0" borderId="1" xfId="0" applyFont="1" applyBorder="1" applyAlignment="1">
      <alignment horizontal="center" vertical="center"/>
    </xf>
    <xf numFmtId="0" fontId="38" fillId="0" borderId="13" xfId="0" applyFont="1" applyBorder="1" applyAlignment="1">
      <alignment horizontal="center" vertical="center"/>
    </xf>
    <xf numFmtId="0" fontId="38" fillId="0" borderId="2" xfId="0" applyFont="1" applyBorder="1" applyAlignment="1">
      <alignment horizontal="center" vertical="center"/>
    </xf>
    <xf numFmtId="0" fontId="33" fillId="0" borderId="0" xfId="0" applyFont="1" applyAlignment="1">
      <alignment vertical="center" shrinkToFit="1"/>
    </xf>
    <xf numFmtId="0" fontId="27" fillId="0" borderId="0" xfId="0" applyFont="1" applyAlignment="1">
      <alignment vertical="center" shrinkToFit="1"/>
    </xf>
    <xf numFmtId="0" fontId="7" fillId="0" borderId="0" xfId="0" applyFont="1" applyAlignment="1">
      <alignment horizontal="right" vertical="center"/>
    </xf>
    <xf numFmtId="0" fontId="27" fillId="0" borderId="0" xfId="0" applyFont="1" applyAlignment="1">
      <alignment horizontal="right" vertical="center"/>
    </xf>
    <xf numFmtId="0" fontId="11" fillId="0" borderId="0" xfId="0" applyFont="1" applyAlignment="1">
      <alignment vertical="top"/>
    </xf>
    <xf numFmtId="0" fontId="27" fillId="17" borderId="0" xfId="0" applyFont="1" applyFill="1">
      <alignment vertical="center"/>
    </xf>
    <xf numFmtId="0" fontId="27" fillId="17" borderId="1" xfId="0" applyFont="1" applyFill="1" applyBorder="1">
      <alignment vertical="center"/>
    </xf>
    <xf numFmtId="49" fontId="27" fillId="17" borderId="1" xfId="0" applyNumberFormat="1" applyFont="1" applyFill="1" applyBorder="1">
      <alignment vertical="center"/>
    </xf>
    <xf numFmtId="0" fontId="24" fillId="17" borderId="1" xfId="0" applyFont="1" applyFill="1" applyBorder="1" applyAlignment="1">
      <alignment vertical="top"/>
    </xf>
    <xf numFmtId="49" fontId="24" fillId="17" borderId="1" xfId="0" applyNumberFormat="1" applyFont="1" applyFill="1" applyBorder="1" applyAlignment="1">
      <alignment vertical="top"/>
    </xf>
    <xf numFmtId="0" fontId="24" fillId="17" borderId="1" xfId="0" applyFont="1" applyFill="1" applyBorder="1" applyAlignment="1">
      <alignment vertical="top" wrapText="1"/>
    </xf>
    <xf numFmtId="0" fontId="24" fillId="15" borderId="39" xfId="0" applyFont="1" applyFill="1" applyBorder="1" applyAlignment="1">
      <alignment horizontal="center" vertical="center"/>
    </xf>
    <xf numFmtId="0" fontId="39" fillId="0" borderId="0" xfId="0" applyFont="1" applyAlignment="1">
      <alignment horizontal="left" vertical="center"/>
    </xf>
    <xf numFmtId="0" fontId="27" fillId="3" borderId="1" xfId="0" applyFont="1" applyFill="1" applyBorder="1" applyAlignment="1" applyProtection="1">
      <alignment horizontal="center" vertical="center" shrinkToFit="1"/>
      <protection locked="0"/>
    </xf>
    <xf numFmtId="0" fontId="27" fillId="3" borderId="2" xfId="0" applyFont="1" applyFill="1" applyBorder="1" applyAlignment="1" applyProtection="1">
      <alignment horizontal="center" vertical="center" shrinkToFit="1"/>
      <protection locked="0"/>
    </xf>
    <xf numFmtId="0" fontId="7" fillId="17" borderId="0" xfId="0" applyFont="1" applyFill="1">
      <alignment vertical="center"/>
    </xf>
    <xf numFmtId="0" fontId="27" fillId="14" borderId="4" xfId="0" applyFont="1" applyFill="1" applyBorder="1" applyAlignment="1">
      <alignment horizontal="center" vertical="center" wrapText="1"/>
    </xf>
    <xf numFmtId="0" fontId="27" fillId="14" borderId="13" xfId="0" applyFont="1" applyFill="1" applyBorder="1" applyAlignment="1">
      <alignment horizontal="center" vertical="center"/>
    </xf>
    <xf numFmtId="0" fontId="27" fillId="14" borderId="13" xfId="0" applyFont="1" applyFill="1" applyBorder="1" applyAlignment="1">
      <alignment horizontal="center" vertical="center" wrapText="1"/>
    </xf>
    <xf numFmtId="0" fontId="27" fillId="14" borderId="9" xfId="0" applyFont="1" applyFill="1" applyBorder="1" applyAlignment="1">
      <alignment horizontal="center" vertical="center"/>
    </xf>
    <xf numFmtId="0" fontId="41" fillId="0" borderId="7" xfId="0" applyFont="1" applyBorder="1" applyAlignment="1">
      <alignment horizontal="center" vertical="center"/>
    </xf>
    <xf numFmtId="5" fontId="35" fillId="0" borderId="2" xfId="0" applyNumberFormat="1" applyFont="1" applyBorder="1" applyAlignment="1">
      <alignment horizontal="center" vertical="center"/>
    </xf>
    <xf numFmtId="0" fontId="10" fillId="10" borderId="62" xfId="0" applyFont="1" applyFill="1" applyBorder="1" applyAlignment="1">
      <alignment horizontal="center" vertical="center" wrapText="1"/>
    </xf>
    <xf numFmtId="0" fontId="38" fillId="0" borderId="60" xfId="0" applyFont="1" applyBorder="1" applyAlignment="1">
      <alignment horizontal="center" vertical="center"/>
    </xf>
    <xf numFmtId="0" fontId="21" fillId="13" borderId="60" xfId="0" applyFont="1" applyFill="1" applyBorder="1" applyAlignment="1">
      <alignment horizontal="center" vertical="center"/>
    </xf>
    <xf numFmtId="0" fontId="21" fillId="13" borderId="73" xfId="0" applyFont="1" applyFill="1" applyBorder="1" applyAlignment="1">
      <alignment horizontal="center" vertical="center"/>
    </xf>
    <xf numFmtId="0" fontId="18" fillId="11" borderId="4" xfId="0" applyFont="1" applyFill="1" applyBorder="1" applyAlignment="1">
      <alignment horizontal="center" vertical="center"/>
    </xf>
    <xf numFmtId="0" fontId="27" fillId="14" borderId="7" xfId="0" applyFont="1" applyFill="1" applyBorder="1" applyAlignment="1">
      <alignment horizontal="center" vertical="center" wrapText="1"/>
    </xf>
    <xf numFmtId="0" fontId="27" fillId="14" borderId="1" xfId="0" applyFont="1" applyFill="1" applyBorder="1" applyAlignment="1">
      <alignment horizontal="center" vertical="center"/>
    </xf>
    <xf numFmtId="0" fontId="27" fillId="14" borderId="1" xfId="0" applyFont="1" applyFill="1" applyBorder="1" applyAlignment="1">
      <alignment horizontal="center" vertical="center" wrapText="1"/>
    </xf>
    <xf numFmtId="0" fontId="27" fillId="14" borderId="2" xfId="0" applyFont="1" applyFill="1" applyBorder="1" applyAlignment="1">
      <alignment horizontal="center" vertical="center"/>
    </xf>
    <xf numFmtId="0" fontId="40" fillId="16" borderId="48" xfId="0" applyFont="1" applyFill="1" applyBorder="1" applyAlignment="1">
      <alignment horizontal="left" vertical="top" wrapText="1"/>
    </xf>
    <xf numFmtId="0" fontId="40" fillId="16" borderId="24" xfId="0" applyFont="1" applyFill="1" applyBorder="1" applyAlignment="1">
      <alignment horizontal="left" vertical="top" wrapText="1"/>
    </xf>
    <xf numFmtId="0" fontId="40" fillId="16" borderId="49" xfId="0" applyFont="1" applyFill="1" applyBorder="1" applyAlignment="1">
      <alignment horizontal="left" vertical="top" wrapText="1"/>
    </xf>
    <xf numFmtId="0" fontId="40" fillId="16" borderId="50" xfId="0" applyFont="1" applyFill="1" applyBorder="1" applyAlignment="1">
      <alignment horizontal="left" vertical="top" wrapText="1"/>
    </xf>
    <xf numFmtId="0" fontId="40" fillId="16" borderId="0" xfId="0" applyFont="1" applyFill="1" applyAlignment="1">
      <alignment horizontal="left" vertical="top" wrapText="1"/>
    </xf>
    <xf numFmtId="0" fontId="40" fillId="16" borderId="51" xfId="0" applyFont="1" applyFill="1" applyBorder="1" applyAlignment="1">
      <alignment horizontal="left" vertical="top" wrapText="1"/>
    </xf>
    <xf numFmtId="0" fontId="40" fillId="16" borderId="52" xfId="0" applyFont="1" applyFill="1" applyBorder="1" applyAlignment="1">
      <alignment horizontal="left" vertical="top" wrapText="1"/>
    </xf>
    <xf numFmtId="0" fontId="40" fillId="16" borderId="53" xfId="0" applyFont="1" applyFill="1" applyBorder="1" applyAlignment="1">
      <alignment horizontal="left" vertical="top" wrapText="1"/>
    </xf>
    <xf numFmtId="0" fontId="40" fillId="16" borderId="45" xfId="0" applyFont="1" applyFill="1" applyBorder="1" applyAlignment="1">
      <alignment horizontal="left" vertical="top" wrapText="1"/>
    </xf>
    <xf numFmtId="0" fontId="27" fillId="0" borderId="54" xfId="0" applyFont="1" applyBorder="1" applyAlignment="1">
      <alignment horizontal="center" vertical="center" wrapText="1"/>
    </xf>
    <xf numFmtId="0" fontId="27" fillId="0" borderId="55" xfId="0" applyFont="1" applyBorder="1" applyAlignment="1">
      <alignment horizontal="center" vertical="center" wrapText="1"/>
    </xf>
    <xf numFmtId="0" fontId="27" fillId="3" borderId="1" xfId="0" applyFont="1" applyFill="1" applyBorder="1" applyAlignment="1" applyProtection="1">
      <alignment horizontal="center" vertical="center" shrinkToFit="1"/>
      <protection locked="0"/>
    </xf>
    <xf numFmtId="0" fontId="27" fillId="3" borderId="1" xfId="0" applyFont="1" applyFill="1" applyBorder="1" applyAlignment="1" applyProtection="1">
      <alignment horizontal="center" vertical="center"/>
      <protection locked="0"/>
    </xf>
    <xf numFmtId="0" fontId="27" fillId="0" borderId="69" xfId="0" applyFont="1" applyBorder="1" applyAlignment="1">
      <alignment horizontal="center" vertical="center" wrapText="1"/>
    </xf>
    <xf numFmtId="0" fontId="27" fillId="3" borderId="7" xfId="0" applyFont="1" applyFill="1" applyBorder="1" applyAlignment="1" applyProtection="1">
      <alignment horizontal="center" vertical="center" shrinkToFit="1"/>
      <protection locked="0"/>
    </xf>
    <xf numFmtId="0" fontId="27" fillId="3" borderId="7" xfId="0" applyFont="1" applyFill="1" applyBorder="1" applyAlignment="1" applyProtection="1">
      <alignment horizontal="center" vertical="center"/>
      <protection locked="0"/>
    </xf>
    <xf numFmtId="0" fontId="27" fillId="0" borderId="8" xfId="0" applyFont="1" applyBorder="1" applyAlignment="1">
      <alignment horizontal="center" vertical="center" wrapText="1"/>
    </xf>
    <xf numFmtId="0" fontId="27" fillId="0" borderId="56" xfId="0" applyFont="1" applyBorder="1" applyAlignment="1">
      <alignment horizontal="center" vertical="center" wrapText="1"/>
    </xf>
    <xf numFmtId="0" fontId="27" fillId="3" borderId="2" xfId="0" applyFont="1" applyFill="1" applyBorder="1" applyAlignment="1" applyProtection="1">
      <alignment horizontal="center" vertical="center" shrinkToFit="1"/>
      <protection locked="0"/>
    </xf>
    <xf numFmtId="0" fontId="27" fillId="3" borderId="2" xfId="0" applyFont="1" applyFill="1" applyBorder="1" applyAlignment="1" applyProtection="1">
      <alignment horizontal="center" vertical="center"/>
      <protection locked="0"/>
    </xf>
    <xf numFmtId="0" fontId="27" fillId="0" borderId="6" xfId="0" applyFont="1" applyBorder="1" applyAlignment="1">
      <alignment horizontal="center" vertical="center" wrapText="1"/>
    </xf>
    <xf numFmtId="0" fontId="12" fillId="5" borderId="7" xfId="0" applyFont="1" applyFill="1" applyBorder="1" applyAlignment="1">
      <alignment horizontal="center" vertical="center"/>
    </xf>
    <xf numFmtId="0" fontId="12" fillId="5" borderId="2" xfId="0" applyFont="1" applyFill="1" applyBorder="1" applyAlignment="1">
      <alignment horizontal="center" vertical="center"/>
    </xf>
    <xf numFmtId="0" fontId="27" fillId="5" borderId="7" xfId="0" applyFont="1" applyFill="1" applyBorder="1" applyAlignment="1">
      <alignment horizontal="center" vertical="center"/>
    </xf>
    <xf numFmtId="0" fontId="27" fillId="5" borderId="2" xfId="0" applyFont="1" applyFill="1" applyBorder="1" applyAlignment="1">
      <alignment horizontal="center" vertical="center"/>
    </xf>
    <xf numFmtId="49" fontId="27" fillId="3" borderId="57" xfId="0" applyNumberFormat="1" applyFont="1" applyFill="1" applyBorder="1" applyAlignment="1" applyProtection="1">
      <alignment horizontal="center" vertical="center"/>
      <protection locked="0"/>
    </xf>
    <xf numFmtId="49" fontId="27" fillId="3" borderId="58" xfId="0" applyNumberFormat="1" applyFont="1" applyFill="1" applyBorder="1" applyAlignment="1" applyProtection="1">
      <alignment horizontal="center" vertical="center"/>
      <protection locked="0"/>
    </xf>
    <xf numFmtId="0" fontId="27" fillId="0" borderId="2" xfId="0" applyFont="1" applyBorder="1" applyAlignment="1">
      <alignment horizontal="center" vertical="center" wrapText="1"/>
    </xf>
    <xf numFmtId="0" fontId="27" fillId="0" borderId="2" xfId="0" applyFont="1" applyBorder="1" applyAlignment="1">
      <alignment horizontal="center" vertical="center"/>
    </xf>
    <xf numFmtId="0" fontId="27" fillId="0" borderId="9" xfId="0" applyFont="1" applyBorder="1" applyAlignment="1">
      <alignment horizontal="center" vertical="center"/>
    </xf>
    <xf numFmtId="49" fontId="27" fillId="3" borderId="16" xfId="0" applyNumberFormat="1" applyFont="1" applyFill="1" applyBorder="1" applyAlignment="1" applyProtection="1">
      <alignment horizontal="left" vertical="center"/>
      <protection locked="0"/>
    </xf>
    <xf numFmtId="49" fontId="27" fillId="3" borderId="59" xfId="0" applyNumberFormat="1" applyFont="1" applyFill="1" applyBorder="1" applyAlignment="1" applyProtection="1">
      <alignment horizontal="left" vertical="center"/>
      <protection locked="0"/>
    </xf>
    <xf numFmtId="49" fontId="27" fillId="3" borderId="58" xfId="0" applyNumberFormat="1" applyFont="1" applyFill="1" applyBorder="1" applyAlignment="1" applyProtection="1">
      <alignment horizontal="left" vertical="center"/>
      <protection locked="0"/>
    </xf>
    <xf numFmtId="49" fontId="27" fillId="3" borderId="2" xfId="0" applyNumberFormat="1" applyFont="1" applyFill="1" applyBorder="1" applyAlignment="1" applyProtection="1">
      <alignment horizontal="left" vertical="center"/>
      <protection locked="0"/>
    </xf>
    <xf numFmtId="49" fontId="27" fillId="3" borderId="9" xfId="0" applyNumberFormat="1" applyFont="1" applyFill="1" applyBorder="1" applyAlignment="1" applyProtection="1">
      <alignment horizontal="left" vertical="center"/>
      <protection locked="0"/>
    </xf>
    <xf numFmtId="49" fontId="27" fillId="3" borderId="57" xfId="0" applyNumberFormat="1" applyFont="1" applyFill="1" applyBorder="1" applyAlignment="1" applyProtection="1">
      <alignment horizontal="left" vertical="center"/>
      <protection locked="0"/>
    </xf>
    <xf numFmtId="49" fontId="27" fillId="3" borderId="60" xfId="0" applyNumberFormat="1" applyFont="1" applyFill="1" applyBorder="1" applyAlignment="1" applyProtection="1">
      <alignment horizontal="left" vertical="center"/>
      <protection locked="0"/>
    </xf>
    <xf numFmtId="0" fontId="27" fillId="0" borderId="0" xfId="0" applyFont="1" applyAlignment="1">
      <alignment horizontal="center" vertical="center"/>
    </xf>
    <xf numFmtId="0" fontId="12" fillId="0" borderId="6" xfId="0" applyFont="1" applyBorder="1" applyAlignment="1">
      <alignment horizontal="center" vertical="center" wrapText="1"/>
    </xf>
    <xf numFmtId="0" fontId="12" fillId="0" borderId="4" xfId="0" applyFont="1" applyBorder="1" applyAlignment="1">
      <alignment horizontal="center" vertical="center"/>
    </xf>
    <xf numFmtId="0" fontId="37" fillId="0" borderId="68" xfId="0" applyFont="1" applyBorder="1" applyAlignment="1">
      <alignment horizontal="center" vertical="center"/>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27" fillId="0" borderId="62" xfId="0" applyFont="1" applyBorder="1" applyAlignment="1">
      <alignment horizontal="center" vertical="center"/>
    </xf>
    <xf numFmtId="0" fontId="27" fillId="0" borderId="63" xfId="0" applyFont="1" applyBorder="1" applyAlignment="1">
      <alignment horizontal="center" vertical="center" wrapText="1"/>
    </xf>
    <xf numFmtId="0" fontId="27" fillId="0" borderId="64" xfId="0" applyFont="1" applyBorder="1" applyAlignment="1">
      <alignment horizontal="center" vertical="center"/>
    </xf>
    <xf numFmtId="0" fontId="27" fillId="0" borderId="7" xfId="0" applyFont="1" applyBorder="1" applyAlignment="1">
      <alignment horizontal="center" vertical="center"/>
    </xf>
    <xf numFmtId="0" fontId="27" fillId="0" borderId="4" xfId="0" applyFont="1" applyBorder="1" applyAlignment="1">
      <alignment horizontal="center" vertical="center"/>
    </xf>
    <xf numFmtId="0" fontId="42" fillId="10" borderId="70" xfId="0" applyFont="1" applyFill="1" applyBorder="1" applyAlignment="1">
      <alignment horizontal="center" vertical="center" wrapText="1"/>
    </xf>
    <xf numFmtId="0" fontId="42" fillId="10" borderId="71" xfId="0" applyFont="1" applyFill="1" applyBorder="1" applyAlignment="1">
      <alignment horizontal="center" vertical="center"/>
    </xf>
    <xf numFmtId="0" fontId="42" fillId="10" borderId="72" xfId="0" applyFont="1" applyFill="1" applyBorder="1" applyAlignment="1">
      <alignment horizontal="center" vertical="center"/>
    </xf>
    <xf numFmtId="0" fontId="12" fillId="15" borderId="70" xfId="0" applyFont="1" applyFill="1" applyBorder="1" applyAlignment="1" applyProtection="1">
      <alignment vertical="center" shrinkToFit="1"/>
      <protection locked="0"/>
    </xf>
    <xf numFmtId="0" fontId="12" fillId="15" borderId="71" xfId="0" applyFont="1" applyFill="1" applyBorder="1" applyAlignment="1" applyProtection="1">
      <alignment vertical="center" shrinkToFit="1"/>
      <protection locked="0"/>
    </xf>
    <xf numFmtId="0" fontId="12" fillId="15" borderId="72" xfId="0" applyFont="1" applyFill="1" applyBorder="1" applyAlignment="1" applyProtection="1">
      <alignment vertical="center" shrinkToFit="1"/>
      <protection locked="0"/>
    </xf>
    <xf numFmtId="0" fontId="27" fillId="0" borderId="34" xfId="0" applyFont="1" applyBorder="1" applyAlignment="1">
      <alignment horizontal="center" vertical="center"/>
    </xf>
    <xf numFmtId="0" fontId="27" fillId="15" borderId="66" xfId="0" applyFont="1" applyFill="1" applyBorder="1" applyAlignment="1" applyProtection="1">
      <alignment horizontal="center" vertical="center"/>
      <protection locked="0"/>
    </xf>
    <xf numFmtId="0" fontId="27" fillId="15" borderId="3" xfId="0" applyFont="1" applyFill="1" applyBorder="1" applyAlignment="1" applyProtection="1">
      <alignment horizontal="center" vertical="center"/>
      <protection locked="0"/>
    </xf>
    <xf numFmtId="0" fontId="27" fillId="0" borderId="66" xfId="0" applyFont="1" applyBorder="1" applyAlignment="1">
      <alignment horizontal="center" vertical="center"/>
    </xf>
    <xf numFmtId="0" fontId="27" fillId="0" borderId="65" xfId="0" applyFont="1" applyBorder="1" applyAlignment="1">
      <alignment horizontal="center" vertical="center"/>
    </xf>
    <xf numFmtId="0" fontId="27" fillId="5" borderId="66" xfId="0" applyFont="1" applyFill="1" applyBorder="1" applyAlignment="1">
      <alignment horizontal="center" vertical="center"/>
    </xf>
    <xf numFmtId="0" fontId="27" fillId="5" borderId="65" xfId="0" applyFont="1" applyFill="1" applyBorder="1" applyAlignment="1">
      <alignment horizontal="center" vertical="center"/>
    </xf>
    <xf numFmtId="0" fontId="27" fillId="3" borderId="57" xfId="0" applyFont="1" applyFill="1" applyBorder="1" applyAlignment="1" applyProtection="1">
      <alignment horizontal="center" vertical="center"/>
      <protection locked="0"/>
    </xf>
    <xf numFmtId="0" fontId="27" fillId="3" borderId="59" xfId="0" applyFont="1" applyFill="1" applyBorder="1" applyAlignment="1" applyProtection="1">
      <alignment horizontal="center" vertical="center"/>
      <protection locked="0"/>
    </xf>
    <xf numFmtId="0" fontId="27" fillId="0" borderId="12" xfId="0" applyFont="1" applyBorder="1" applyAlignment="1">
      <alignment horizontal="center" vertical="center" wrapText="1"/>
    </xf>
    <xf numFmtId="0" fontId="27" fillId="0" borderId="8" xfId="0" applyFont="1" applyBorder="1" applyAlignment="1">
      <alignment horizontal="center" vertical="center"/>
    </xf>
    <xf numFmtId="49" fontId="27" fillId="3" borderId="67" xfId="0" applyNumberFormat="1" applyFont="1" applyFill="1" applyBorder="1" applyAlignment="1" applyProtection="1">
      <alignment horizontal="center" vertical="center"/>
      <protection locked="0"/>
    </xf>
    <xf numFmtId="49" fontId="27" fillId="3" borderId="20" xfId="0" applyNumberFormat="1" applyFont="1" applyFill="1" applyBorder="1" applyAlignment="1" applyProtection="1">
      <alignment horizontal="center" vertical="center"/>
      <protection locked="0"/>
    </xf>
    <xf numFmtId="0" fontId="27" fillId="15" borderId="57" xfId="0" applyFont="1" applyFill="1" applyBorder="1" applyAlignment="1" applyProtection="1">
      <alignment horizontal="center" vertical="center"/>
      <protection locked="0"/>
    </xf>
    <xf numFmtId="0" fontId="27" fillId="15" borderId="60" xfId="0" applyFont="1" applyFill="1" applyBorder="1" applyAlignment="1" applyProtection="1">
      <alignment horizontal="center" vertical="center"/>
      <protection locked="0"/>
    </xf>
    <xf numFmtId="0" fontId="27" fillId="5" borderId="6" xfId="0" applyFont="1" applyFill="1" applyBorder="1" applyAlignment="1">
      <alignment horizontal="center" vertical="center"/>
    </xf>
    <xf numFmtId="0" fontId="27" fillId="5" borderId="8" xfId="0" applyFont="1" applyFill="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wrapText="1"/>
    </xf>
    <xf numFmtId="0" fontId="27" fillId="15" borderId="18" xfId="0" applyFont="1" applyFill="1" applyBorder="1" applyAlignment="1" applyProtection="1">
      <alignment horizontal="center" vertical="center"/>
      <protection locked="0"/>
    </xf>
    <xf numFmtId="0" fontId="27" fillId="15" borderId="65" xfId="0" applyFont="1" applyFill="1" applyBorder="1" applyAlignment="1" applyProtection="1">
      <alignment horizontal="center" vertical="center"/>
      <protection locked="0"/>
    </xf>
    <xf numFmtId="0" fontId="6" fillId="2" borderId="0" xfId="0" applyFont="1" applyFill="1" applyAlignment="1">
      <alignment horizontal="left" vertical="center"/>
    </xf>
    <xf numFmtId="0" fontId="5" fillId="8" borderId="0" xfId="0" applyFont="1" applyFill="1" applyAlignment="1">
      <alignment horizontal="left" vertical="center"/>
    </xf>
    <xf numFmtId="0" fontId="36" fillId="0" borderId="0" xfId="0" applyFont="1" applyAlignment="1">
      <alignment vertical="center" wrapText="1" shrinkToFit="1"/>
    </xf>
    <xf numFmtId="0" fontId="11" fillId="16" borderId="48" xfId="0" applyFont="1" applyFill="1" applyBorder="1" applyAlignment="1">
      <alignment vertical="top" wrapText="1"/>
    </xf>
    <xf numFmtId="0" fontId="11" fillId="16" borderId="24" xfId="0" applyFont="1" applyFill="1" applyBorder="1" applyAlignment="1">
      <alignment vertical="top" wrapText="1"/>
    </xf>
    <xf numFmtId="0" fontId="11" fillId="16" borderId="49" xfId="0" applyFont="1" applyFill="1" applyBorder="1" applyAlignment="1">
      <alignment vertical="top" wrapText="1"/>
    </xf>
    <xf numFmtId="0" fontId="11" fillId="16" borderId="50" xfId="0" applyFont="1" applyFill="1" applyBorder="1" applyAlignment="1">
      <alignment vertical="top" wrapText="1"/>
    </xf>
    <xf numFmtId="0" fontId="11" fillId="16" borderId="0" xfId="0" applyFont="1" applyFill="1" applyAlignment="1">
      <alignment vertical="top" wrapText="1"/>
    </xf>
    <xf numFmtId="0" fontId="11" fillId="16" borderId="51" xfId="0" applyFont="1" applyFill="1" applyBorder="1" applyAlignment="1">
      <alignment vertical="top" wrapText="1"/>
    </xf>
    <xf numFmtId="0" fontId="11" fillId="16" borderId="52" xfId="0" applyFont="1" applyFill="1" applyBorder="1" applyAlignment="1">
      <alignment vertical="top" wrapText="1"/>
    </xf>
    <xf numFmtId="0" fontId="11" fillId="16" borderId="53" xfId="0" applyFont="1" applyFill="1" applyBorder="1" applyAlignment="1">
      <alignment vertical="top" wrapText="1"/>
    </xf>
    <xf numFmtId="0" fontId="11" fillId="16" borderId="45" xfId="0" applyFont="1" applyFill="1" applyBorder="1" applyAlignment="1">
      <alignment vertical="top" wrapText="1"/>
    </xf>
  </cellXfs>
  <cellStyles count="2">
    <cellStyle name="標準" xfId="0" builtinId="0"/>
    <cellStyle name="標準 2" xfId="1" xr:uid="{00000000-0005-0000-0000-000001000000}"/>
  </cellStyles>
  <dxfs count="175">
    <dxf>
      <fill>
        <patternFill>
          <bgColor indexed="10"/>
        </patternFill>
      </fill>
    </dxf>
    <dxf>
      <fill>
        <patternFill>
          <bgColor rgb="FFFFCCFF"/>
        </patternFill>
      </fill>
    </dxf>
    <dxf>
      <fill>
        <patternFill>
          <bgColor indexed="41"/>
        </patternFill>
      </fill>
    </dxf>
    <dxf>
      <fill>
        <patternFill>
          <bgColor rgb="FFFFCCFF"/>
        </patternFill>
      </fill>
    </dxf>
    <dxf>
      <fill>
        <patternFill>
          <bgColor rgb="FFCCFFFF"/>
        </patternFill>
      </fill>
    </dxf>
    <dxf>
      <fill>
        <patternFill>
          <bgColor rgb="FFFFCCFF"/>
        </patternFill>
      </fill>
    </dxf>
    <dxf>
      <fill>
        <patternFill>
          <bgColor indexed="41"/>
        </patternFill>
      </fill>
    </dxf>
    <dxf>
      <fill>
        <patternFill>
          <bgColor indexed="10"/>
        </patternFill>
      </fill>
    </dxf>
    <dxf>
      <fill>
        <patternFill>
          <bgColor rgb="FFCCFFFF"/>
        </patternFill>
      </fill>
    </dxf>
    <dxf>
      <fill>
        <patternFill>
          <bgColor rgb="FFFFCCFF"/>
        </patternFill>
      </fill>
    </dxf>
    <dxf>
      <fill>
        <patternFill>
          <bgColor indexed="41"/>
        </patternFill>
      </fill>
    </dxf>
    <dxf>
      <fill>
        <patternFill>
          <bgColor rgb="FFFFCCFF"/>
        </patternFill>
      </fill>
    </dxf>
    <dxf>
      <fill>
        <patternFill>
          <bgColor indexed="10"/>
        </patternFill>
      </fill>
    </dxf>
    <dxf>
      <fill>
        <patternFill>
          <bgColor rgb="FFCCFFFF"/>
        </patternFill>
      </fill>
    </dxf>
    <dxf>
      <fill>
        <patternFill>
          <bgColor rgb="FFFFCCFF"/>
        </patternFill>
      </fill>
    </dxf>
    <dxf>
      <fill>
        <patternFill>
          <bgColor indexed="10"/>
        </patternFill>
      </fill>
    </dxf>
    <dxf>
      <fill>
        <patternFill>
          <bgColor rgb="FFFFCCFF"/>
        </patternFill>
      </fill>
    </dxf>
    <dxf>
      <fill>
        <patternFill>
          <bgColor indexed="41"/>
        </patternFill>
      </fill>
    </dxf>
    <dxf>
      <fill>
        <patternFill>
          <bgColor rgb="FFFFCCFF"/>
        </patternFill>
      </fill>
    </dxf>
    <dxf>
      <fill>
        <patternFill>
          <bgColor rgb="FFCCFFFF"/>
        </patternFill>
      </fill>
    </dxf>
    <dxf>
      <fill>
        <patternFill>
          <bgColor rgb="FFFFCCFF"/>
        </patternFill>
      </fill>
    </dxf>
    <dxf>
      <fill>
        <patternFill>
          <bgColor indexed="41"/>
        </patternFill>
      </fill>
    </dxf>
    <dxf>
      <fill>
        <patternFill>
          <bgColor indexed="10"/>
        </patternFill>
      </fill>
    </dxf>
    <dxf>
      <fill>
        <patternFill>
          <bgColor rgb="FFCCFFFF"/>
        </patternFill>
      </fill>
    </dxf>
    <dxf>
      <fill>
        <patternFill>
          <bgColor rgb="FFFFCCFF"/>
        </patternFill>
      </fill>
    </dxf>
    <dxf>
      <fill>
        <patternFill>
          <bgColor indexed="41"/>
        </patternFill>
      </fill>
    </dxf>
    <dxf>
      <fill>
        <patternFill>
          <bgColor rgb="FFFFCCFF"/>
        </patternFill>
      </fill>
    </dxf>
    <dxf>
      <fill>
        <patternFill>
          <bgColor indexed="10"/>
        </patternFill>
      </fill>
    </dxf>
    <dxf>
      <fill>
        <patternFill>
          <bgColor rgb="FFCCFFFF"/>
        </patternFill>
      </fill>
    </dxf>
    <dxf>
      <fill>
        <patternFill>
          <bgColor rgb="FFFFCCFF"/>
        </patternFill>
      </fill>
    </dxf>
    <dxf>
      <fill>
        <patternFill>
          <bgColor indexed="41"/>
        </patternFill>
      </fill>
    </dxf>
    <dxf>
      <fill>
        <patternFill>
          <bgColor rgb="FFFFCCFF"/>
        </patternFill>
      </fill>
    </dxf>
    <dxf>
      <fill>
        <patternFill>
          <bgColor indexed="10"/>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b/>
        <i val="0"/>
        <color rgb="FFFF0000"/>
      </font>
      <fill>
        <patternFill patternType="none">
          <bgColor indexed="65"/>
        </patternFill>
      </fill>
    </dxf>
    <dxf>
      <font>
        <b/>
        <i val="0"/>
        <color rgb="FFFF0000"/>
      </font>
      <fill>
        <patternFill patternType="none">
          <bgColor indexed="65"/>
        </patternFill>
      </fill>
    </dxf>
    <dxf>
      <font>
        <condense val="0"/>
        <extend val="0"/>
        <color indexed="9"/>
      </font>
      <fill>
        <patternFill>
          <bgColor indexed="10"/>
        </patternFill>
      </fill>
    </dxf>
    <dxf>
      <font>
        <b/>
        <i val="0"/>
        <color rgb="FFFF0000"/>
      </font>
      <fill>
        <patternFill patternType="none">
          <bgColor indexed="65"/>
        </patternFill>
      </fill>
    </dxf>
    <dxf>
      <font>
        <b/>
        <i val="0"/>
        <color rgb="FFFF0000"/>
      </font>
      <fill>
        <patternFill patternType="none">
          <bgColor indexed="65"/>
        </patternFill>
      </fill>
    </dxf>
    <dxf>
      <font>
        <condense val="0"/>
        <extend val="0"/>
        <color indexed="9"/>
      </font>
      <fill>
        <patternFill>
          <bgColor indexed="10"/>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FFCCFF"/>
        </patternFill>
      </fill>
    </dxf>
    <dxf>
      <fill>
        <patternFill>
          <bgColor rgb="FFCCFF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CCFFFF"/>
        </patternFill>
      </fill>
    </dxf>
    <dxf>
      <fill>
        <patternFill>
          <bgColor rgb="FFFFCC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auto="1"/>
      </font>
      <fill>
        <patternFill>
          <bgColor rgb="FFCCFFFF"/>
        </patternFill>
      </fill>
    </dxf>
    <dxf>
      <fill>
        <patternFill>
          <bgColor rgb="FFCC0000"/>
        </patternFill>
      </fill>
    </dxf>
    <dxf>
      <font>
        <color auto="1"/>
      </font>
      <fill>
        <patternFill>
          <bgColor rgb="FFCCFFFF"/>
        </patternFill>
      </fill>
    </dxf>
    <dxf>
      <fill>
        <patternFill>
          <bgColor rgb="FFCC0000"/>
        </patternFill>
      </fill>
    </dxf>
    <dxf>
      <font>
        <color auto="1"/>
      </font>
      <fill>
        <patternFill>
          <bgColor rgb="FFCCFFFF"/>
        </patternFill>
      </fill>
    </dxf>
    <dxf>
      <fill>
        <patternFill>
          <bgColor rgb="FFCC0000"/>
        </patternFill>
      </fill>
    </dxf>
    <dxf>
      <fill>
        <patternFill>
          <bgColor rgb="FFFFCCFF"/>
        </patternFill>
      </fill>
    </dxf>
    <dxf>
      <font>
        <color auto="1"/>
      </font>
      <fill>
        <patternFill>
          <bgColor rgb="FFCCFFFF"/>
        </patternFill>
      </fill>
    </dxf>
    <dxf>
      <fill>
        <patternFill>
          <bgColor rgb="FFCC0000"/>
        </patternFill>
      </fill>
    </dxf>
    <dxf>
      <fill>
        <patternFill>
          <bgColor rgb="FFFFCCFF"/>
        </patternFill>
      </fill>
    </dxf>
    <dxf>
      <fill>
        <patternFill>
          <bgColor rgb="FFCCFFFF"/>
        </patternFill>
      </fill>
    </dxf>
    <dxf>
      <font>
        <color theme="0"/>
      </font>
      <fill>
        <patternFill>
          <bgColor rgb="FFCC0000"/>
        </patternFill>
      </fill>
    </dxf>
    <dxf>
      <font>
        <color theme="0"/>
      </font>
      <fill>
        <patternFill>
          <bgColor rgb="FFCC0000"/>
        </patternFill>
      </fill>
    </dxf>
    <dxf>
      <font>
        <color theme="0"/>
      </font>
      <fill>
        <patternFill>
          <bgColor rgb="FFCC0000"/>
        </patternFill>
      </fill>
    </dxf>
    <dxf>
      <font>
        <color theme="0"/>
      </font>
      <fill>
        <patternFill>
          <bgColor rgb="FFCC0000"/>
        </patternFill>
      </fill>
    </dxf>
    <dxf>
      <font>
        <color theme="0"/>
      </font>
      <fill>
        <patternFill>
          <bgColor rgb="FFCC0000"/>
        </patternFill>
      </fill>
    </dxf>
    <dxf>
      <font>
        <color theme="0"/>
      </font>
      <fill>
        <patternFill>
          <bgColor rgb="FFCC0000"/>
        </patternFill>
      </fill>
    </dxf>
    <dxf>
      <font>
        <color theme="0"/>
      </font>
      <fill>
        <patternFill>
          <bgColor rgb="FFCC0000"/>
        </patternFill>
      </fill>
    </dxf>
    <dxf>
      <font>
        <color theme="0"/>
      </font>
      <fill>
        <patternFill>
          <bgColor rgb="FFCC0000"/>
        </patternFill>
      </fill>
    </dxf>
    <dxf>
      <font>
        <color theme="0"/>
      </font>
      <fill>
        <patternFill>
          <bgColor rgb="FFCC0000"/>
        </patternFill>
      </fill>
    </dxf>
    <dxf>
      <font>
        <b/>
        <i val="0"/>
        <color rgb="FFFF0000"/>
      </font>
      <fill>
        <patternFill patternType="none">
          <bgColor indexed="65"/>
        </patternFill>
      </fill>
    </dxf>
    <dxf>
      <font>
        <b/>
        <i val="0"/>
        <color rgb="FFFF0000"/>
      </font>
      <fill>
        <patternFill patternType="none">
          <bgColor indexed="65"/>
        </patternFill>
      </fill>
    </dxf>
    <dxf>
      <fill>
        <patternFill>
          <bgColor rgb="FFCC0000"/>
        </patternFill>
      </fill>
    </dxf>
    <dxf>
      <fill>
        <patternFill>
          <bgColor rgb="FFFFC7CE"/>
        </patternFill>
      </fill>
    </dxf>
    <dxf>
      <font>
        <b/>
        <i val="0"/>
      </font>
      <fill>
        <patternFill>
          <bgColor rgb="FFFFFF00"/>
        </patternFill>
      </fill>
    </dxf>
    <dxf>
      <font>
        <b/>
        <i val="0"/>
      </font>
      <fill>
        <patternFill>
          <bgColor rgb="FFFF0000"/>
        </patternFill>
      </fill>
    </dxf>
    <dxf>
      <fill>
        <patternFill>
          <bgColor rgb="FFFFC7CE"/>
        </patternFill>
      </fill>
    </dxf>
    <dxf>
      <font>
        <b/>
        <i val="0"/>
      </font>
      <fill>
        <patternFill>
          <bgColor rgb="FFFFFF00"/>
        </patternFill>
      </fill>
    </dxf>
    <dxf>
      <fill>
        <patternFill>
          <bgColor rgb="FFFF0000"/>
        </patternFill>
      </fill>
    </dxf>
    <dxf>
      <fill>
        <patternFill>
          <bgColor rgb="FFFFC7CE"/>
        </patternFill>
      </fill>
    </dxf>
    <dxf>
      <fill>
        <patternFill>
          <bgColor rgb="FFFF0000"/>
        </patternFill>
      </fill>
    </dxf>
    <dxf>
      <fill>
        <patternFill>
          <bgColor rgb="FFCCFFFF"/>
        </patternFill>
      </fill>
    </dxf>
    <dxf>
      <fill>
        <patternFill>
          <bgColor rgb="FFFFCCFF"/>
        </patternFill>
      </fill>
    </dxf>
    <dxf>
      <fill>
        <patternFill>
          <bgColor indexed="10"/>
        </patternFill>
      </fill>
    </dxf>
    <dxf>
      <fill>
        <patternFill>
          <bgColor rgb="FFFFCCFF"/>
        </patternFill>
      </fill>
    </dxf>
    <dxf>
      <fill>
        <patternFill>
          <bgColor indexed="41"/>
        </patternFill>
      </fill>
    </dxf>
    <dxf>
      <fill>
        <patternFill>
          <bgColor rgb="FFCCFFFF"/>
        </patternFill>
      </fill>
    </dxf>
    <dxf>
      <fill>
        <patternFill>
          <bgColor rgb="FFFFCCFF"/>
        </patternFill>
      </fill>
    </dxf>
    <dxf>
      <fill>
        <patternFill>
          <bgColor indexed="41"/>
        </patternFill>
      </fill>
    </dxf>
    <dxf>
      <fill>
        <patternFill>
          <bgColor rgb="FFFFCCFF"/>
        </patternFill>
      </fill>
    </dxf>
    <dxf>
      <fill>
        <patternFill>
          <bgColor indexed="10"/>
        </patternFill>
      </fill>
    </dxf>
    <dxf>
      <fill>
        <patternFill>
          <bgColor rgb="FFFF0000"/>
        </patternFill>
      </fill>
    </dxf>
    <dxf>
      <fill>
        <patternFill>
          <bgColor rgb="FFCCFFFF"/>
        </patternFill>
      </fill>
    </dxf>
    <dxf>
      <fill>
        <patternFill>
          <bgColor rgb="FFFFCCFF"/>
        </patternFill>
      </fill>
    </dxf>
    <dxf>
      <fill>
        <patternFill>
          <bgColor theme="0" tint="-0.24994659260841701"/>
        </patternFill>
      </fill>
    </dxf>
    <dxf>
      <fill>
        <patternFill>
          <bgColor theme="0" tint="-0.24994659260841701"/>
        </patternFill>
      </fill>
    </dxf>
    <dxf>
      <fill>
        <patternFill>
          <bgColor rgb="FFFFCCFF"/>
        </patternFill>
      </fill>
    </dxf>
    <dxf>
      <fill>
        <patternFill>
          <bgColor rgb="FFCCFFFF"/>
        </patternFill>
      </fill>
    </dxf>
    <dxf>
      <fill>
        <patternFill>
          <bgColor rgb="FFFF0000"/>
        </patternFill>
      </fill>
    </dxf>
    <dxf>
      <font>
        <condense val="0"/>
        <extend val="0"/>
        <color indexed="9"/>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85"/>
  <sheetViews>
    <sheetView showGridLines="0" zoomScale="120" zoomScaleNormal="120" workbookViewId="0">
      <selection activeCell="D21" sqref="D21"/>
    </sheetView>
  </sheetViews>
  <sheetFormatPr defaultColWidth="9" defaultRowHeight="15.75" x14ac:dyDescent="0.15"/>
  <cols>
    <col min="1" max="1" width="3.875" style="1" customWidth="1"/>
    <col min="2" max="3" width="4.375" style="1" customWidth="1"/>
    <col min="4" max="4" width="97.75" style="1" customWidth="1"/>
    <col min="5" max="6" width="4.375" style="1" customWidth="1"/>
    <col min="7" max="7" width="3" style="3" customWidth="1"/>
    <col min="8" max="16384" width="9" style="3"/>
  </cols>
  <sheetData>
    <row r="1" spans="2:6" ht="21" x14ac:dyDescent="0.15">
      <c r="B1" s="253" t="s">
        <v>94</v>
      </c>
      <c r="C1" s="253"/>
      <c r="D1" s="253"/>
      <c r="E1" s="253"/>
      <c r="F1" s="2"/>
    </row>
    <row r="2" spans="2:6" ht="24" x14ac:dyDescent="0.15">
      <c r="B2" s="4"/>
      <c r="C2" s="4"/>
      <c r="D2" s="5" t="s">
        <v>95</v>
      </c>
      <c r="E2" s="4"/>
      <c r="F2" s="4"/>
    </row>
    <row r="3" spans="2:6" ht="24" x14ac:dyDescent="0.15">
      <c r="B3" s="4"/>
      <c r="C3" s="4"/>
      <c r="D3" s="5" t="s">
        <v>96</v>
      </c>
      <c r="E3" s="4"/>
      <c r="F3" s="4"/>
    </row>
    <row r="4" spans="2:6" ht="24" x14ac:dyDescent="0.15">
      <c r="B4" s="4"/>
      <c r="C4" s="4"/>
      <c r="D4" s="5" t="s">
        <v>165</v>
      </c>
      <c r="E4" s="4"/>
      <c r="F4" s="4"/>
    </row>
    <row r="5" spans="2:6" x14ac:dyDescent="0.15">
      <c r="C5" s="254" t="s">
        <v>97</v>
      </c>
      <c r="D5" s="254"/>
      <c r="E5" s="254"/>
    </row>
    <row r="6" spans="2:6" x14ac:dyDescent="0.15">
      <c r="D6" s="1" t="s">
        <v>26</v>
      </c>
    </row>
    <row r="7" spans="2:6" x14ac:dyDescent="0.15">
      <c r="D7" s="1" t="s">
        <v>27</v>
      </c>
    </row>
    <row r="8" spans="2:6" x14ac:dyDescent="0.15">
      <c r="D8" s="1" t="s">
        <v>118</v>
      </c>
    </row>
    <row r="9" spans="2:6" x14ac:dyDescent="0.15">
      <c r="C9" s="254" t="s">
        <v>98</v>
      </c>
      <c r="D9" s="254"/>
      <c r="E9" s="254"/>
    </row>
    <row r="10" spans="2:6" x14ac:dyDescent="0.15">
      <c r="C10" s="4"/>
      <c r="D10" s="6" t="s">
        <v>99</v>
      </c>
      <c r="E10" s="4"/>
    </row>
    <row r="11" spans="2:6" x14ac:dyDescent="0.15">
      <c r="D11" s="1" t="s">
        <v>100</v>
      </c>
    </row>
    <row r="12" spans="2:6" x14ac:dyDescent="0.15">
      <c r="D12" s="7" t="s">
        <v>101</v>
      </c>
    </row>
    <row r="13" spans="2:6" s="8" customFormat="1" x14ac:dyDescent="0.15">
      <c r="D13" s="8" t="s">
        <v>102</v>
      </c>
    </row>
    <row r="14" spans="2:6" x14ac:dyDescent="0.15">
      <c r="D14" s="1" t="s">
        <v>103</v>
      </c>
    </row>
    <row r="15" spans="2:6" s="8" customFormat="1" x14ac:dyDescent="0.15"/>
    <row r="16" spans="2:6" s="8" customFormat="1" x14ac:dyDescent="0.15">
      <c r="C16" s="9" t="s">
        <v>104</v>
      </c>
    </row>
    <row r="17" spans="3:4" x14ac:dyDescent="0.15">
      <c r="D17" s="10" t="s">
        <v>166</v>
      </c>
    </row>
    <row r="18" spans="3:4" x14ac:dyDescent="0.15">
      <c r="D18" s="10" t="s">
        <v>117</v>
      </c>
    </row>
    <row r="19" spans="3:4" x14ac:dyDescent="0.15">
      <c r="D19" s="10" t="s">
        <v>167</v>
      </c>
    </row>
    <row r="20" spans="3:4" s="8" customFormat="1" x14ac:dyDescent="0.15">
      <c r="C20" s="9" t="s">
        <v>105</v>
      </c>
    </row>
    <row r="21" spans="3:4" x14ac:dyDescent="0.15">
      <c r="D21" s="10" t="s">
        <v>158</v>
      </c>
    </row>
    <row r="22" spans="3:4" x14ac:dyDescent="0.15">
      <c r="D22" s="10" t="s">
        <v>124</v>
      </c>
    </row>
    <row r="23" spans="3:4" x14ac:dyDescent="0.15">
      <c r="D23" s="10" t="s">
        <v>132</v>
      </c>
    </row>
    <row r="24" spans="3:4" x14ac:dyDescent="0.15">
      <c r="D24" s="10" t="s">
        <v>157</v>
      </c>
    </row>
    <row r="25" spans="3:4" x14ac:dyDescent="0.15">
      <c r="D25" s="8" t="s">
        <v>106</v>
      </c>
    </row>
    <row r="26" spans="3:4" x14ac:dyDescent="0.15">
      <c r="D26" s="7" t="s">
        <v>139</v>
      </c>
    </row>
    <row r="27" spans="3:4" x14ac:dyDescent="0.15">
      <c r="D27" s="10" t="s">
        <v>107</v>
      </c>
    </row>
    <row r="28" spans="3:4" x14ac:dyDescent="0.15">
      <c r="D28" s="8" t="s">
        <v>160</v>
      </c>
    </row>
    <row r="29" spans="3:4" x14ac:dyDescent="0.15">
      <c r="D29" s="10" t="s">
        <v>119</v>
      </c>
    </row>
    <row r="30" spans="3:4" x14ac:dyDescent="0.15">
      <c r="D30" s="8" t="s">
        <v>134</v>
      </c>
    </row>
    <row r="31" spans="3:4" x14ac:dyDescent="0.15">
      <c r="D31" s="8" t="s">
        <v>135</v>
      </c>
    </row>
    <row r="32" spans="3:4" s="8" customFormat="1" x14ac:dyDescent="0.15">
      <c r="D32" s="8" t="s">
        <v>108</v>
      </c>
    </row>
    <row r="33" spans="3:9" x14ac:dyDescent="0.15">
      <c r="D33" s="10" t="s">
        <v>120</v>
      </c>
    </row>
    <row r="34" spans="3:9" x14ac:dyDescent="0.15">
      <c r="D34" s="10" t="s">
        <v>119</v>
      </c>
    </row>
    <row r="35" spans="3:9" x14ac:dyDescent="0.15">
      <c r="D35" s="10" t="s">
        <v>109</v>
      </c>
    </row>
    <row r="36" spans="3:9" s="8" customFormat="1" x14ac:dyDescent="0.15">
      <c r="D36" s="8" t="s">
        <v>140</v>
      </c>
    </row>
    <row r="37" spans="3:9" x14ac:dyDescent="0.15">
      <c r="D37" s="10" t="s">
        <v>141</v>
      </c>
    </row>
    <row r="38" spans="3:9" x14ac:dyDescent="0.15">
      <c r="D38" s="10" t="s">
        <v>110</v>
      </c>
    </row>
    <row r="39" spans="3:9" s="8" customFormat="1" x14ac:dyDescent="0.15">
      <c r="D39" s="8" t="s">
        <v>111</v>
      </c>
    </row>
    <row r="40" spans="3:9" s="8" customFormat="1" x14ac:dyDescent="0.15">
      <c r="D40" s="8" t="s">
        <v>112</v>
      </c>
    </row>
    <row r="41" spans="3:9" s="8" customFormat="1" x14ac:dyDescent="0.15">
      <c r="D41" s="8" t="s">
        <v>113</v>
      </c>
    </row>
    <row r="42" spans="3:9" s="8" customFormat="1" x14ac:dyDescent="0.15">
      <c r="D42" s="8" t="s">
        <v>161</v>
      </c>
    </row>
    <row r="43" spans="3:9" x14ac:dyDescent="0.15">
      <c r="D43" s="8" t="s">
        <v>121</v>
      </c>
    </row>
    <row r="44" spans="3:9" x14ac:dyDescent="0.15">
      <c r="D44" s="8" t="s">
        <v>155</v>
      </c>
    </row>
    <row r="45" spans="3:9" x14ac:dyDescent="0.15">
      <c r="D45" s="8"/>
    </row>
    <row r="46" spans="3:9" s="8" customFormat="1" x14ac:dyDescent="0.15">
      <c r="C46" s="9" t="s">
        <v>159</v>
      </c>
    </row>
    <row r="47" spans="3:9" s="8" customFormat="1" x14ac:dyDescent="0.15">
      <c r="C47" s="1" t="s">
        <v>29</v>
      </c>
      <c r="D47" s="10" t="s">
        <v>126</v>
      </c>
      <c r="E47" s="1"/>
      <c r="F47" s="1"/>
      <c r="G47" s="3"/>
      <c r="H47" s="3"/>
      <c r="I47" s="3"/>
    </row>
    <row r="48" spans="3:9" s="8" customFormat="1" x14ac:dyDescent="0.15">
      <c r="C48" s="1"/>
      <c r="E48" s="1"/>
      <c r="F48" s="1"/>
      <c r="G48" s="3"/>
      <c r="H48" s="3"/>
      <c r="I48" s="3"/>
    </row>
    <row r="49" spans="3:9" s="8" customFormat="1" x14ac:dyDescent="0.15">
      <c r="C49" s="254" t="s">
        <v>114</v>
      </c>
      <c r="D49" s="254"/>
      <c r="E49" s="254"/>
      <c r="F49" s="1"/>
      <c r="G49" s="3"/>
      <c r="H49" s="3"/>
      <c r="I49" s="3"/>
    </row>
    <row r="50" spans="3:9" s="8" customFormat="1" x14ac:dyDescent="0.15">
      <c r="C50" s="1"/>
      <c r="D50" s="1" t="s">
        <v>44</v>
      </c>
      <c r="E50" s="1"/>
      <c r="F50" s="1"/>
      <c r="G50" s="3"/>
      <c r="H50" s="3"/>
      <c r="I50" s="3"/>
    </row>
    <row r="51" spans="3:9" s="8" customFormat="1" x14ac:dyDescent="0.15">
      <c r="C51" s="1"/>
      <c r="D51" s="1" t="s">
        <v>45</v>
      </c>
      <c r="E51" s="1"/>
      <c r="F51" s="1"/>
      <c r="G51" s="3"/>
      <c r="H51" s="3"/>
      <c r="I51" s="3"/>
    </row>
    <row r="52" spans="3:9" s="8" customFormat="1" x14ac:dyDescent="0.15">
      <c r="C52" s="1"/>
      <c r="D52" s="1" t="s">
        <v>46</v>
      </c>
      <c r="E52" s="1"/>
      <c r="F52" s="1"/>
      <c r="G52" s="3"/>
      <c r="H52" s="3"/>
      <c r="I52" s="3"/>
    </row>
    <row r="53" spans="3:9" x14ac:dyDescent="0.15">
      <c r="D53" s="10" t="s">
        <v>47</v>
      </c>
    </row>
    <row r="54" spans="3:9" x14ac:dyDescent="0.15">
      <c r="D54" s="10" t="s">
        <v>115</v>
      </c>
    </row>
    <row r="55" spans="3:9" x14ac:dyDescent="0.15">
      <c r="D55" s="1" t="s">
        <v>28</v>
      </c>
    </row>
    <row r="56" spans="3:9" s="8" customFormat="1" x14ac:dyDescent="0.15">
      <c r="C56" s="1" t="s">
        <v>29</v>
      </c>
      <c r="D56" s="10" t="s">
        <v>30</v>
      </c>
      <c r="E56" s="1"/>
      <c r="F56" s="1"/>
      <c r="G56" s="3"/>
      <c r="H56" s="3"/>
      <c r="I56" s="3"/>
    </row>
    <row r="57" spans="3:9" x14ac:dyDescent="0.15">
      <c r="D57" s="1" t="s">
        <v>31</v>
      </c>
    </row>
    <row r="58" spans="3:9" x14ac:dyDescent="0.15">
      <c r="D58" s="1" t="s">
        <v>32</v>
      </c>
    </row>
    <row r="59" spans="3:9" x14ac:dyDescent="0.15">
      <c r="D59" s="1" t="s">
        <v>33</v>
      </c>
    </row>
    <row r="60" spans="3:9" x14ac:dyDescent="0.15">
      <c r="D60" s="1" t="s">
        <v>34</v>
      </c>
    </row>
    <row r="61" spans="3:9" x14ac:dyDescent="0.15">
      <c r="D61" s="1" t="s">
        <v>35</v>
      </c>
    </row>
    <row r="62" spans="3:9" x14ac:dyDescent="0.15">
      <c r="D62" s="1" t="s">
        <v>36</v>
      </c>
    </row>
    <row r="63" spans="3:9" s="8" customFormat="1" x14ac:dyDescent="0.15">
      <c r="C63" s="1"/>
      <c r="D63" s="1" t="s">
        <v>37</v>
      </c>
      <c r="E63" s="1"/>
      <c r="F63" s="1"/>
      <c r="G63" s="3"/>
      <c r="H63" s="3"/>
      <c r="I63" s="3"/>
    </row>
    <row r="64" spans="3:9" x14ac:dyDescent="0.15">
      <c r="D64" s="1" t="s">
        <v>38</v>
      </c>
    </row>
    <row r="65" spans="4:4" x14ac:dyDescent="0.15">
      <c r="D65" s="1" t="s">
        <v>39</v>
      </c>
    </row>
    <row r="66" spans="4:4" x14ac:dyDescent="0.15">
      <c r="D66" s="1" t="s">
        <v>40</v>
      </c>
    </row>
    <row r="67" spans="4:4" x14ac:dyDescent="0.15">
      <c r="D67" s="1" t="s">
        <v>41</v>
      </c>
    </row>
    <row r="68" spans="4:4" x14ac:dyDescent="0.15">
      <c r="D68" s="10" t="s">
        <v>116</v>
      </c>
    </row>
    <row r="69" spans="4:4" x14ac:dyDescent="0.15">
      <c r="D69" s="1" t="s">
        <v>136</v>
      </c>
    </row>
    <row r="85" spans="4:4" x14ac:dyDescent="0.15">
      <c r="D85" s="10"/>
    </row>
  </sheetData>
  <mergeCells count="4">
    <mergeCell ref="B1:E1"/>
    <mergeCell ref="C5:E5"/>
    <mergeCell ref="C9:E9"/>
    <mergeCell ref="C49:E49"/>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BQ155"/>
  <sheetViews>
    <sheetView showGridLines="0" tabSelected="1" topLeftCell="B4" zoomScale="80" zoomScaleNormal="80" workbookViewId="0">
      <selection activeCell="I13" sqref="I13"/>
    </sheetView>
  </sheetViews>
  <sheetFormatPr defaultColWidth="8.875" defaultRowHeight="15.75" x14ac:dyDescent="0.15"/>
  <cols>
    <col min="1" max="1" width="3.125" style="3" customWidth="1"/>
    <col min="2" max="2" width="7.5" style="13" customWidth="1"/>
    <col min="3" max="3" width="8.625" style="13" customWidth="1"/>
    <col min="4" max="4" width="10" style="3" customWidth="1"/>
    <col min="5" max="5" width="16.875" style="3" customWidth="1"/>
    <col min="6" max="6" width="9.5" style="13" customWidth="1"/>
    <col min="7" max="9" width="13.875" style="13" customWidth="1"/>
    <col min="10" max="10" width="16.625" style="3" customWidth="1"/>
    <col min="11" max="11" width="16.375" style="3" customWidth="1"/>
    <col min="12" max="19" width="8" style="13" customWidth="1"/>
    <col min="20" max="20" width="10.125" style="13" customWidth="1"/>
    <col min="21" max="21" width="3.5" style="13" customWidth="1"/>
    <col min="22" max="22" width="6.125" style="13" customWidth="1"/>
    <col min="23" max="23" width="5.5" style="13" customWidth="1"/>
    <col min="24" max="24" width="10.125" style="13" customWidth="1"/>
    <col min="25" max="25" width="3.5" style="13" customWidth="1"/>
    <col min="26" max="26" width="13" style="3" customWidth="1"/>
    <col min="27" max="29" width="7.375" style="8" customWidth="1"/>
    <col min="30" max="31" width="16.25" style="8" customWidth="1"/>
    <col min="32" max="33" width="3.75" style="8" customWidth="1"/>
    <col min="34" max="34" width="3.5" style="3" customWidth="1"/>
    <col min="35" max="44" width="4" style="3" customWidth="1"/>
    <col min="45" max="46" width="3.875" style="3" customWidth="1"/>
    <col min="47" max="47" width="14" style="3" customWidth="1"/>
    <col min="48" max="48" width="9.375" style="3" customWidth="1"/>
    <col min="49" max="57" width="4.75" style="3" customWidth="1"/>
    <col min="58" max="62" width="4.5" style="3" customWidth="1"/>
    <col min="63" max="64" width="5.75" style="3" customWidth="1"/>
    <col min="65" max="66" width="4.5" style="3" customWidth="1"/>
    <col min="67" max="67" width="8.875" style="3" customWidth="1"/>
    <col min="68" max="69" width="7" style="3" customWidth="1"/>
    <col min="70" max="16384" width="8.875" style="3"/>
  </cols>
  <sheetData>
    <row r="1" spans="1:66" ht="25.5" customHeight="1" thickBot="1" x14ac:dyDescent="0.2">
      <c r="B1" s="218" t="s">
        <v>164</v>
      </c>
      <c r="C1" s="218"/>
      <c r="D1" s="218"/>
      <c r="E1" s="218"/>
      <c r="F1" s="218"/>
      <c r="G1" s="215" t="s">
        <v>6</v>
      </c>
      <c r="H1" s="215"/>
      <c r="I1" s="215"/>
      <c r="K1" s="12"/>
      <c r="L1" s="12"/>
      <c r="M1" s="12"/>
      <c r="N1" s="12"/>
      <c r="O1" s="12"/>
      <c r="P1" s="12"/>
      <c r="Q1" s="12"/>
      <c r="R1" s="12"/>
      <c r="S1" s="12"/>
      <c r="T1" s="12"/>
      <c r="U1" s="12"/>
      <c r="V1" s="12"/>
      <c r="W1" s="12"/>
      <c r="X1" s="12"/>
      <c r="Y1" s="12"/>
      <c r="Z1" s="12"/>
      <c r="AH1" s="12"/>
      <c r="AI1" s="12"/>
      <c r="AJ1" s="12"/>
    </row>
    <row r="2" spans="1:66" ht="6.75" customHeight="1" thickTop="1" thickBot="1" x14ac:dyDescent="0.2">
      <c r="K2" s="12"/>
      <c r="L2" s="12"/>
      <c r="M2" s="12"/>
      <c r="N2" s="12"/>
      <c r="O2" s="12"/>
      <c r="P2" s="12"/>
      <c r="Q2" s="12"/>
      <c r="R2" s="12"/>
      <c r="S2" s="12"/>
      <c r="T2" s="12"/>
      <c r="U2" s="12"/>
      <c r="V2" s="12"/>
      <c r="W2" s="12"/>
      <c r="X2" s="12"/>
      <c r="Y2" s="12"/>
      <c r="Z2" s="12"/>
      <c r="AH2" s="12"/>
      <c r="AI2" s="12"/>
      <c r="AJ2" s="12"/>
    </row>
    <row r="3" spans="1:66" ht="27" customHeight="1" x14ac:dyDescent="0.15">
      <c r="B3" s="232" t="s">
        <v>42</v>
      </c>
      <c r="C3" s="221"/>
      <c r="D3" s="219" t="s">
        <v>133</v>
      </c>
      <c r="E3" s="220"/>
      <c r="F3" s="219" t="s">
        <v>162</v>
      </c>
      <c r="G3" s="221"/>
      <c r="H3" s="222" t="s">
        <v>129</v>
      </c>
      <c r="I3" s="223"/>
      <c r="K3" s="178" t="s">
        <v>156</v>
      </c>
      <c r="L3" s="179"/>
      <c r="M3" s="179"/>
      <c r="N3" s="179"/>
      <c r="O3" s="179"/>
      <c r="P3" s="179"/>
      <c r="Q3" s="180"/>
      <c r="R3" s="14"/>
      <c r="S3" s="14"/>
      <c r="T3" s="14"/>
      <c r="U3" s="14"/>
      <c r="V3" s="14"/>
      <c r="W3" s="14"/>
      <c r="X3" s="14"/>
      <c r="Y3" s="14"/>
      <c r="Z3" s="15"/>
      <c r="AH3" s="15"/>
      <c r="AI3" s="14"/>
      <c r="AJ3" s="14"/>
    </row>
    <row r="4" spans="1:66" ht="27" customHeight="1" x14ac:dyDescent="0.15">
      <c r="B4" s="243" t="s">
        <v>18</v>
      </c>
      <c r="C4" s="244"/>
      <c r="D4" s="245"/>
      <c r="E4" s="246"/>
      <c r="F4" s="239"/>
      <c r="G4" s="240"/>
      <c r="H4" s="203"/>
      <c r="I4" s="204"/>
      <c r="K4" s="181"/>
      <c r="L4" s="182"/>
      <c r="M4" s="182"/>
      <c r="N4" s="182"/>
      <c r="O4" s="182"/>
      <c r="P4" s="182"/>
      <c r="Q4" s="183"/>
      <c r="R4" s="12"/>
      <c r="S4" s="12"/>
      <c r="T4" s="12"/>
      <c r="U4" s="12"/>
      <c r="V4" s="12"/>
      <c r="W4" s="12"/>
      <c r="X4" s="12"/>
      <c r="Y4" s="12"/>
      <c r="Z4" s="12"/>
      <c r="AH4" s="12"/>
      <c r="AI4" s="12"/>
      <c r="AJ4" s="14"/>
    </row>
    <row r="5" spans="1:66" ht="27" customHeight="1" x14ac:dyDescent="0.15">
      <c r="B5" s="241" t="s">
        <v>8</v>
      </c>
      <c r="C5" s="16" t="s">
        <v>9</v>
      </c>
      <c r="D5" s="213"/>
      <c r="E5" s="214"/>
      <c r="F5" s="17" t="s">
        <v>87</v>
      </c>
      <c r="G5" s="208"/>
      <c r="H5" s="209"/>
      <c r="I5" s="210"/>
      <c r="K5" s="181"/>
      <c r="L5" s="182"/>
      <c r="M5" s="182"/>
      <c r="N5" s="182"/>
      <c r="O5" s="182"/>
      <c r="P5" s="182"/>
      <c r="Q5" s="183"/>
      <c r="R5" s="12"/>
      <c r="S5" s="12"/>
      <c r="T5" s="12"/>
      <c r="U5" s="12"/>
      <c r="V5" s="12"/>
      <c r="W5" s="12"/>
      <c r="X5" s="12"/>
      <c r="Y5" s="12"/>
      <c r="Z5" s="12"/>
      <c r="AH5" s="12"/>
      <c r="AI5" s="12"/>
      <c r="AJ5" s="14"/>
    </row>
    <row r="6" spans="1:66" ht="27" customHeight="1" thickBot="1" x14ac:dyDescent="0.2">
      <c r="B6" s="242"/>
      <c r="C6" s="18" t="s">
        <v>43</v>
      </c>
      <c r="D6" s="211"/>
      <c r="E6" s="211"/>
      <c r="F6" s="211"/>
      <c r="G6" s="211"/>
      <c r="H6" s="211"/>
      <c r="I6" s="212"/>
      <c r="K6" s="184"/>
      <c r="L6" s="185"/>
      <c r="M6" s="185"/>
      <c r="N6" s="185"/>
      <c r="O6" s="185"/>
      <c r="P6" s="185"/>
      <c r="Q6" s="186"/>
      <c r="R6" s="12"/>
      <c r="S6" s="12"/>
      <c r="T6" s="12"/>
      <c r="U6" s="12"/>
      <c r="V6" s="12"/>
      <c r="W6" s="12"/>
      <c r="X6" s="12"/>
      <c r="Y6" s="12"/>
      <c r="Z6" s="12"/>
      <c r="AH6" s="12"/>
      <c r="AI6" s="12"/>
      <c r="AJ6" s="14"/>
    </row>
    <row r="7" spans="1:66" ht="27" customHeight="1" thickBot="1" x14ac:dyDescent="0.2">
      <c r="B7" s="226" t="s">
        <v>163</v>
      </c>
      <c r="C7" s="227"/>
      <c r="D7" s="228"/>
      <c r="E7" s="229"/>
      <c r="F7" s="230"/>
      <c r="G7" s="230"/>
      <c r="H7" s="230"/>
      <c r="I7" s="231"/>
      <c r="K7" s="21"/>
      <c r="L7" s="21"/>
      <c r="M7" s="21"/>
      <c r="N7" s="21"/>
      <c r="O7" s="21"/>
      <c r="P7" s="21"/>
      <c r="Q7" s="21"/>
      <c r="R7" s="15"/>
      <c r="S7" s="15"/>
      <c r="T7" s="15"/>
      <c r="U7" s="15"/>
      <c r="V7" s="15"/>
      <c r="W7" s="15"/>
      <c r="X7" s="15"/>
      <c r="Y7" s="15"/>
      <c r="Z7" s="15"/>
      <c r="AH7" s="15"/>
      <c r="AI7" s="15"/>
      <c r="AJ7" s="22"/>
    </row>
    <row r="8" spans="1:66" ht="27" customHeight="1" x14ac:dyDescent="0.15">
      <c r="B8" s="216" t="s">
        <v>2</v>
      </c>
      <c r="C8" s="217"/>
      <c r="D8" s="24"/>
      <c r="E8" s="25" t="s">
        <v>125</v>
      </c>
      <c r="G8" s="26" t="s">
        <v>3</v>
      </c>
      <c r="H8" s="167" t="s">
        <v>4</v>
      </c>
      <c r="I8" s="23" t="s">
        <v>5</v>
      </c>
      <c r="K8" s="21"/>
      <c r="L8" s="21"/>
      <c r="M8" s="21"/>
      <c r="N8" s="21"/>
      <c r="O8" s="21"/>
      <c r="P8" s="21"/>
      <c r="Q8" s="21"/>
      <c r="R8" s="15"/>
      <c r="S8" s="15"/>
      <c r="T8" s="15"/>
      <c r="U8" s="15"/>
      <c r="V8" s="15"/>
      <c r="W8" s="15"/>
      <c r="X8" s="15"/>
      <c r="Y8" s="27"/>
      <c r="Z8" s="27"/>
      <c r="AH8" s="27"/>
      <c r="AI8" s="27"/>
      <c r="AJ8" s="8"/>
      <c r="AL8" s="8"/>
      <c r="AM8" s="8"/>
      <c r="AN8" s="8"/>
      <c r="AO8" s="8"/>
      <c r="AP8" s="8"/>
    </row>
    <row r="9" spans="1:66" ht="27" customHeight="1" thickBot="1" x14ac:dyDescent="0.2">
      <c r="B9" s="28">
        <f>SUM(A15+A35+A55+A75+A95)</f>
        <v>0</v>
      </c>
      <c r="C9" s="29">
        <f>SUM(A16+A36+A56+A76+A96)</f>
        <v>0</v>
      </c>
      <c r="D9" s="24"/>
      <c r="E9" s="30">
        <f>IF(B4="","",VLOOKUP(B4,V12:W15,2,FALSE))</f>
        <v>500</v>
      </c>
      <c r="G9" s="31">
        <f>IF(E9="",0,C9*E9)</f>
        <v>0</v>
      </c>
      <c r="H9" s="168">
        <f>IF(リレー申込票!I6="",0,リレー申込票!I6)</f>
        <v>0</v>
      </c>
      <c r="I9" s="32">
        <f>SUM(G9+H9)</f>
        <v>0</v>
      </c>
      <c r="K9" s="21"/>
      <c r="L9" s="21"/>
      <c r="M9" s="21"/>
      <c r="N9" s="21"/>
      <c r="O9" s="21"/>
      <c r="P9" s="21"/>
      <c r="Q9" s="21"/>
      <c r="R9" s="15"/>
      <c r="S9" s="15"/>
      <c r="T9" s="15"/>
      <c r="U9" s="15"/>
      <c r="V9" s="15"/>
      <c r="W9" s="15"/>
      <c r="X9" s="15"/>
      <c r="Y9" s="27"/>
      <c r="Z9" s="8"/>
      <c r="AH9" s="8"/>
      <c r="AI9" s="8"/>
      <c r="AJ9" s="8"/>
      <c r="AK9" s="8"/>
      <c r="AL9" s="8"/>
      <c r="AM9" s="8"/>
      <c r="AN9" s="8"/>
      <c r="AO9" s="8"/>
      <c r="AP9" s="8"/>
    </row>
    <row r="10" spans="1:66" ht="6.75" customHeight="1" thickBot="1" x14ac:dyDescent="0.2">
      <c r="B10" s="19"/>
      <c r="G10" s="19"/>
      <c r="L10" s="33" t="s">
        <v>80</v>
      </c>
      <c r="M10" s="33" t="s">
        <v>81</v>
      </c>
      <c r="N10" s="33" t="s">
        <v>82</v>
      </c>
      <c r="O10" s="33" t="s">
        <v>83</v>
      </c>
      <c r="P10" s="33" t="s">
        <v>84</v>
      </c>
      <c r="Q10" s="33" t="s">
        <v>85</v>
      </c>
      <c r="R10" s="33" t="s">
        <v>144</v>
      </c>
      <c r="S10" s="33" t="s">
        <v>145</v>
      </c>
      <c r="Y10" s="27"/>
      <c r="Z10" s="8"/>
      <c r="AH10" s="8"/>
      <c r="AI10" s="8"/>
      <c r="AJ10" s="8"/>
      <c r="AK10" s="8"/>
      <c r="AL10" s="8"/>
      <c r="AM10" s="8"/>
      <c r="AN10" s="8"/>
      <c r="AO10" s="8"/>
      <c r="AP10" s="8"/>
    </row>
    <row r="11" spans="1:66" ht="26.25" customHeight="1" thickBot="1" x14ac:dyDescent="0.2">
      <c r="B11" s="249" t="s">
        <v>10</v>
      </c>
      <c r="C11" s="250" t="s">
        <v>11</v>
      </c>
      <c r="D11" s="250" t="s">
        <v>137</v>
      </c>
      <c r="E11" s="34" t="s">
        <v>9</v>
      </c>
      <c r="F11" s="235" t="s">
        <v>12</v>
      </c>
      <c r="G11" s="224" t="s">
        <v>0</v>
      </c>
      <c r="H11" s="224"/>
      <c r="I11" s="225"/>
      <c r="K11" s="35" t="s">
        <v>13</v>
      </c>
      <c r="M11" s="159" t="str">
        <f>IF(SUM(BG13:BN28)&gt;0,"参加制限を超えている種目があります","")</f>
        <v/>
      </c>
      <c r="N11" s="20"/>
      <c r="O11" s="20"/>
      <c r="P11" s="20"/>
      <c r="Q11" s="20"/>
      <c r="T11" s="8"/>
      <c r="U11" s="8"/>
      <c r="V11" s="8"/>
      <c r="W11" s="8"/>
      <c r="X11" s="8"/>
      <c r="Y11" s="8"/>
      <c r="Z11" s="36"/>
      <c r="AH11" s="36"/>
      <c r="AI11" s="36"/>
      <c r="AJ11" s="8"/>
      <c r="AK11" s="8"/>
      <c r="AL11" s="8"/>
      <c r="AM11" s="8"/>
      <c r="AN11" s="8"/>
      <c r="AO11" s="8"/>
      <c r="AP11" s="8"/>
      <c r="AW11" s="37" t="s">
        <v>79</v>
      </c>
    </row>
    <row r="12" spans="1:66" ht="26.25" customHeight="1" thickBot="1" x14ac:dyDescent="0.2">
      <c r="B12" s="242"/>
      <c r="C12" s="206"/>
      <c r="D12" s="206"/>
      <c r="E12" s="38" t="s">
        <v>93</v>
      </c>
      <c r="F12" s="236"/>
      <c r="G12" s="205" t="s">
        <v>1</v>
      </c>
      <c r="H12" s="206"/>
      <c r="I12" s="207"/>
      <c r="K12" s="77" t="s">
        <v>127</v>
      </c>
      <c r="L12" s="39" t="s">
        <v>80</v>
      </c>
      <c r="M12" s="40" t="s">
        <v>81</v>
      </c>
      <c r="N12" s="39" t="s">
        <v>82</v>
      </c>
      <c r="O12" s="40" t="s">
        <v>83</v>
      </c>
      <c r="P12" s="41" t="s">
        <v>58</v>
      </c>
      <c r="Q12" s="173" t="s">
        <v>59</v>
      </c>
      <c r="R12" s="169" t="s">
        <v>78</v>
      </c>
      <c r="S12" s="43" t="s">
        <v>77</v>
      </c>
      <c r="U12" s="149">
        <v>1</v>
      </c>
      <c r="V12" s="8" t="s">
        <v>18</v>
      </c>
      <c r="W12" s="8">
        <v>500</v>
      </c>
      <c r="X12" s="8"/>
      <c r="Y12" s="8"/>
      <c r="Z12" s="8"/>
      <c r="AH12" s="8"/>
      <c r="AK12" s="8" t="s">
        <v>122</v>
      </c>
      <c r="AL12" s="8" t="s">
        <v>123</v>
      </c>
      <c r="AM12" s="8" t="s">
        <v>153</v>
      </c>
      <c r="AN12" s="8" t="s">
        <v>154</v>
      </c>
      <c r="AO12" s="8" t="s">
        <v>56</v>
      </c>
      <c r="AP12" s="8" t="s">
        <v>57</v>
      </c>
      <c r="AQ12" s="8" t="s">
        <v>73</v>
      </c>
      <c r="AR12" s="3" t="s">
        <v>74</v>
      </c>
      <c r="AW12" s="44" t="s">
        <v>48</v>
      </c>
      <c r="AX12" s="39" t="s">
        <v>80</v>
      </c>
      <c r="AY12" s="40" t="s">
        <v>81</v>
      </c>
      <c r="AZ12" s="39" t="s">
        <v>82</v>
      </c>
      <c r="BA12" s="40" t="s">
        <v>83</v>
      </c>
      <c r="BB12" s="41" t="s">
        <v>58</v>
      </c>
      <c r="BC12" s="42" t="s">
        <v>59</v>
      </c>
      <c r="BD12" s="39" t="s">
        <v>78</v>
      </c>
      <c r="BE12" s="43" t="s">
        <v>77</v>
      </c>
      <c r="BF12" s="44" t="s">
        <v>48</v>
      </c>
      <c r="BG12" s="39" t="s">
        <v>80</v>
      </c>
      <c r="BH12" s="40" t="s">
        <v>81</v>
      </c>
      <c r="BI12" s="39" t="s">
        <v>82</v>
      </c>
      <c r="BJ12" s="40" t="s">
        <v>83</v>
      </c>
      <c r="BK12" s="41" t="s">
        <v>58</v>
      </c>
      <c r="BL12" s="42" t="s">
        <v>59</v>
      </c>
      <c r="BM12" s="39" t="s">
        <v>78</v>
      </c>
      <c r="BN12" s="43" t="s">
        <v>77</v>
      </c>
    </row>
    <row r="13" spans="1:66" ht="26.25" customHeight="1" x14ac:dyDescent="0.15">
      <c r="B13" s="247" t="s">
        <v>14</v>
      </c>
      <c r="C13" s="199" t="s">
        <v>56</v>
      </c>
      <c r="D13" s="201">
        <v>1234</v>
      </c>
      <c r="E13" s="136" t="s">
        <v>62</v>
      </c>
      <c r="F13" s="237">
        <v>2</v>
      </c>
      <c r="G13" s="142" t="s">
        <v>7</v>
      </c>
      <c r="H13" s="142" t="s">
        <v>88</v>
      </c>
      <c r="I13" s="137"/>
      <c r="K13" s="45" t="s">
        <v>67</v>
      </c>
      <c r="L13" s="144">
        <f t="shared" ref="L13:S13" si="0">COUNTIF($AU$13:$AV$114,L$10&amp;$K13)</f>
        <v>0</v>
      </c>
      <c r="M13" s="144">
        <f t="shared" si="0"/>
        <v>0</v>
      </c>
      <c r="N13" s="144">
        <f t="shared" si="0"/>
        <v>0</v>
      </c>
      <c r="O13" s="144">
        <f t="shared" si="0"/>
        <v>0</v>
      </c>
      <c r="P13" s="144">
        <f t="shared" si="0"/>
        <v>0</v>
      </c>
      <c r="Q13" s="145">
        <f t="shared" si="0"/>
        <v>0</v>
      </c>
      <c r="R13" s="170">
        <f t="shared" si="0"/>
        <v>0</v>
      </c>
      <c r="S13" s="145">
        <f t="shared" si="0"/>
        <v>0</v>
      </c>
      <c r="U13" s="149">
        <v>2</v>
      </c>
      <c r="V13" s="8" t="s">
        <v>51</v>
      </c>
      <c r="W13" s="8">
        <v>500</v>
      </c>
      <c r="X13" s="8"/>
      <c r="Y13" s="8"/>
      <c r="Z13" s="8"/>
      <c r="AH13" s="8"/>
      <c r="AK13" s="8" t="str">
        <f t="shared" ref="AK13:AR13" si="1">IF(BG13&gt;-1,"","100m")</f>
        <v>100m</v>
      </c>
      <c r="AL13" s="8" t="str">
        <f t="shared" si="1"/>
        <v>100m</v>
      </c>
      <c r="AM13" s="8" t="str">
        <f t="shared" si="1"/>
        <v>100m</v>
      </c>
      <c r="AN13" s="8" t="str">
        <f t="shared" si="1"/>
        <v>100m</v>
      </c>
      <c r="AO13" s="8" t="str">
        <f t="shared" si="1"/>
        <v>100m</v>
      </c>
      <c r="AP13" s="8" t="str">
        <f t="shared" si="1"/>
        <v>100m</v>
      </c>
      <c r="AQ13" s="8" t="str">
        <f t="shared" si="1"/>
        <v/>
      </c>
      <c r="AR13" s="8" t="str">
        <f t="shared" si="1"/>
        <v/>
      </c>
      <c r="AS13" s="8"/>
      <c r="AT13" s="8"/>
      <c r="AU13" s="46" t="str">
        <f>$B$4&amp;C15&amp;G15</f>
        <v>一般</v>
      </c>
      <c r="AV13" s="47" t="str">
        <f>$B$4&amp;C15&amp;H15</f>
        <v>一般</v>
      </c>
      <c r="AW13" s="45" t="s">
        <v>67</v>
      </c>
      <c r="AX13" s="48">
        <v>5</v>
      </c>
      <c r="AY13" s="48">
        <v>5</v>
      </c>
      <c r="AZ13" s="48">
        <v>5</v>
      </c>
      <c r="BA13" s="48">
        <v>5</v>
      </c>
      <c r="BB13" s="48">
        <v>20</v>
      </c>
      <c r="BC13" s="48">
        <v>20</v>
      </c>
      <c r="BD13" s="48">
        <v>0</v>
      </c>
      <c r="BE13" s="49">
        <v>0</v>
      </c>
      <c r="BF13" s="45" t="s">
        <v>67</v>
      </c>
      <c r="BG13" s="48">
        <f t="shared" ref="BG13:BN13" si="2">L13-AX13</f>
        <v>-5</v>
      </c>
      <c r="BH13" s="48">
        <f t="shared" si="2"/>
        <v>-5</v>
      </c>
      <c r="BI13" s="48">
        <f t="shared" si="2"/>
        <v>-5</v>
      </c>
      <c r="BJ13" s="48">
        <f t="shared" si="2"/>
        <v>-5</v>
      </c>
      <c r="BK13" s="48">
        <f t="shared" si="2"/>
        <v>-20</v>
      </c>
      <c r="BL13" s="48">
        <f t="shared" si="2"/>
        <v>-20</v>
      </c>
      <c r="BM13" s="48">
        <f t="shared" si="2"/>
        <v>0</v>
      </c>
      <c r="BN13" s="49">
        <f t="shared" si="2"/>
        <v>0</v>
      </c>
    </row>
    <row r="14" spans="1:66" ht="26.25" customHeight="1" thickBot="1" x14ac:dyDescent="0.2">
      <c r="B14" s="248"/>
      <c r="C14" s="200"/>
      <c r="D14" s="202"/>
      <c r="E14" s="138" t="s">
        <v>63</v>
      </c>
      <c r="F14" s="238"/>
      <c r="G14" s="143">
        <v>10129</v>
      </c>
      <c r="H14" s="143">
        <v>471</v>
      </c>
      <c r="I14" s="139"/>
      <c r="K14" s="45" t="s">
        <v>68</v>
      </c>
      <c r="L14" s="50" t="s">
        <v>49</v>
      </c>
      <c r="M14" s="144">
        <f>COUNTIF($AU$13:$AV$114,M$10&amp;$K14)</f>
        <v>0</v>
      </c>
      <c r="N14" s="50" t="s">
        <v>49</v>
      </c>
      <c r="O14" s="144">
        <f>COUNTIF($AU$13:$AV$114,O$10&amp;$K14)</f>
        <v>0</v>
      </c>
      <c r="P14" s="50" t="s">
        <v>49</v>
      </c>
      <c r="Q14" s="145">
        <f>COUNTIF($AU$13:$AV$114,Q$10&amp;$K14)</f>
        <v>0</v>
      </c>
      <c r="R14" s="171" t="s">
        <v>49</v>
      </c>
      <c r="S14" s="51" t="s">
        <v>49</v>
      </c>
      <c r="U14" s="149">
        <v>3</v>
      </c>
      <c r="V14" s="8" t="s">
        <v>52</v>
      </c>
      <c r="W14" s="8">
        <v>200</v>
      </c>
      <c r="X14" s="8"/>
      <c r="Y14" s="8"/>
      <c r="Z14" s="8"/>
      <c r="AH14" s="8"/>
      <c r="AK14" s="8" t="str">
        <f>IF(BG15&gt;-1,"","400m")</f>
        <v>400m</v>
      </c>
      <c r="AL14" s="8" t="str">
        <f>IF(BH14&gt;-1,"","200m")</f>
        <v>200m</v>
      </c>
      <c r="AM14" s="8" t="str">
        <f>IF(BI15&gt;-1,"","400m")</f>
        <v>400m</v>
      </c>
      <c r="AN14" s="8" t="str">
        <f>IF(BJ14&gt;-1,"","200m")</f>
        <v>200m</v>
      </c>
      <c r="AO14" s="8" t="str">
        <f>IF(BK15&gt;-1,"","400m")</f>
        <v>400m</v>
      </c>
      <c r="AP14" s="8" t="str">
        <f>IF(BL14&gt;-1,"","200m")</f>
        <v>200m</v>
      </c>
      <c r="AQ14" s="8" t="str">
        <f>IF(BM17&gt;-1,"","1000m")</f>
        <v/>
      </c>
      <c r="AR14" s="8" t="str">
        <f>IF(BN17&gt;-1,"","1000m")</f>
        <v/>
      </c>
      <c r="AS14" s="8"/>
      <c r="AT14" s="8"/>
      <c r="AU14" s="52"/>
      <c r="AV14" s="53"/>
      <c r="AW14" s="45" t="s">
        <v>68</v>
      </c>
      <c r="AX14" s="54" t="s">
        <v>49</v>
      </c>
      <c r="AY14" s="48">
        <v>5</v>
      </c>
      <c r="AZ14" s="54" t="s">
        <v>49</v>
      </c>
      <c r="BA14" s="48">
        <v>5</v>
      </c>
      <c r="BB14" s="54" t="s">
        <v>49</v>
      </c>
      <c r="BC14" s="48">
        <v>20</v>
      </c>
      <c r="BD14" s="54" t="s">
        <v>49</v>
      </c>
      <c r="BE14" s="55" t="s">
        <v>49</v>
      </c>
      <c r="BF14" s="45" t="s">
        <v>68</v>
      </c>
      <c r="BG14" s="54" t="s">
        <v>49</v>
      </c>
      <c r="BH14" s="48">
        <f>M14-AY14</f>
        <v>-5</v>
      </c>
      <c r="BI14" s="54" t="s">
        <v>49</v>
      </c>
      <c r="BJ14" s="48">
        <f>O14-BA14</f>
        <v>-5</v>
      </c>
      <c r="BK14" s="54" t="s">
        <v>49</v>
      </c>
      <c r="BL14" s="48">
        <f>Q14-BC14</f>
        <v>-20</v>
      </c>
      <c r="BM14" s="54" t="s">
        <v>49</v>
      </c>
      <c r="BN14" s="55" t="s">
        <v>49</v>
      </c>
    </row>
    <row r="15" spans="1:66" ht="27" customHeight="1" x14ac:dyDescent="0.15">
      <c r="A15" s="24">
        <f>COUNTA(E15,E17,E19,E21,E23,E25,E27,E29,E31,E33)</f>
        <v>0</v>
      </c>
      <c r="B15" s="191">
        <f>IF(AG15&lt;1,1,"ﾅﾝﾊﾞｰｶｰﾄﾞが重複しています")</f>
        <v>1</v>
      </c>
      <c r="C15" s="192"/>
      <c r="D15" s="193"/>
      <c r="E15" s="72"/>
      <c r="F15" s="233"/>
      <c r="G15" s="140"/>
      <c r="H15" s="174"/>
      <c r="I15" s="163"/>
      <c r="J15" s="147" t="str">
        <f>IF(E15="","",IF(LEN(E15)-LEN(SUBSTITUTE(SUBSTITUTE(E15," ",),"　",))=1,"","氏名ｽﾍﾟｰｽ数"&amp;LEN(E15)-LEN(SUBSTITUTE(SUBSTITUTE(E15," ",),"　",))))</f>
        <v/>
      </c>
      <c r="K15" s="45" t="s">
        <v>69</v>
      </c>
      <c r="L15" s="144">
        <f>COUNTIF($AU$13:$AV$114,L$10&amp;$K15)</f>
        <v>0</v>
      </c>
      <c r="M15" s="50" t="s">
        <v>49</v>
      </c>
      <c r="N15" s="144">
        <f>COUNTIF($AU$13:$AV$114,N$10&amp;$K15)</f>
        <v>0</v>
      </c>
      <c r="O15" s="50" t="s">
        <v>49</v>
      </c>
      <c r="P15" s="144">
        <f>COUNTIF($AU$13:$AV$114,P$10&amp;$K15)</f>
        <v>0</v>
      </c>
      <c r="Q15" s="51" t="s">
        <v>49</v>
      </c>
      <c r="R15" s="171" t="s">
        <v>49</v>
      </c>
      <c r="S15" s="51" t="s">
        <v>49</v>
      </c>
      <c r="U15" s="150">
        <v>4</v>
      </c>
      <c r="V15" s="162"/>
      <c r="W15" s="8">
        <v>200</v>
      </c>
      <c r="X15" s="8"/>
      <c r="Y15" s="8"/>
      <c r="Z15" s="57" t="str">
        <f>$B$4&amp;C15</f>
        <v>一般</v>
      </c>
      <c r="AA15" s="57" t="str">
        <f>IF(D15="","",C15&amp;D15)</f>
        <v/>
      </c>
      <c r="AB15" s="57">
        <f>IF(AA15="",1,AA15)</f>
        <v>1</v>
      </c>
      <c r="AC15" s="57">
        <f>IF(ISERROR(VLOOKUP(AB15,$AA$13:AA14,1,FALSE)),0,VLOOKUP(AB15,$AA$13:AA14,1,FALSE))</f>
        <v>0</v>
      </c>
      <c r="AD15" s="57" t="str">
        <f>IF(D15="","",C15&amp;D15&amp;E15)</f>
        <v/>
      </c>
      <c r="AE15" s="57">
        <f>IF(AD15="",1,AD15)</f>
        <v>1</v>
      </c>
      <c r="AF15" s="58">
        <f>IF(ISERROR(VLOOKUP(AE15,$AD$13:AD14,1,FALSE)),0,VLOOKUP(AE15,$AD$13:AD14,1,FALSE))</f>
        <v>0</v>
      </c>
      <c r="AG15" s="58">
        <f>IF(AB15=AC15,1,0)-AF16</f>
        <v>0</v>
      </c>
      <c r="AH15" s="8"/>
      <c r="AK15" s="8" t="str">
        <f>IF(BG16&gt;-1,"","800m")</f>
        <v>800m</v>
      </c>
      <c r="AL15" s="8" t="str">
        <f>IF(BH16&gt;-1,"","800m")</f>
        <v>800m</v>
      </c>
      <c r="AM15" s="8" t="str">
        <f>IF(BI16&gt;-1,"","800m")</f>
        <v>800m</v>
      </c>
      <c r="AN15" s="8" t="str">
        <f>IF(BJ16&gt;-1,"","800m")</f>
        <v>800m</v>
      </c>
      <c r="AO15" s="3" t="str">
        <f>IF(BK18&gt;-1,"","1500m")</f>
        <v>1500m</v>
      </c>
      <c r="AP15" s="8" t="str">
        <f>IF(BL16&gt;-1,"","800m")</f>
        <v>800m</v>
      </c>
      <c r="AT15" s="8"/>
      <c r="AU15" s="46" t="str">
        <f>$B$4&amp;C17&amp;G17</f>
        <v>一般</v>
      </c>
      <c r="AV15" s="47" t="str">
        <f>$B$4&amp;C17&amp;H17</f>
        <v>一般</v>
      </c>
      <c r="AW15" s="45" t="s">
        <v>69</v>
      </c>
      <c r="AX15" s="48">
        <v>5</v>
      </c>
      <c r="AY15" s="54" t="s">
        <v>49</v>
      </c>
      <c r="AZ15" s="48">
        <v>5</v>
      </c>
      <c r="BA15" s="54" t="s">
        <v>49</v>
      </c>
      <c r="BB15" s="48">
        <v>20</v>
      </c>
      <c r="BC15" s="54" t="s">
        <v>49</v>
      </c>
      <c r="BD15" s="54" t="s">
        <v>49</v>
      </c>
      <c r="BE15" s="55" t="s">
        <v>49</v>
      </c>
      <c r="BF15" s="45" t="s">
        <v>69</v>
      </c>
      <c r="BG15" s="48">
        <f>L15-AX15</f>
        <v>-5</v>
      </c>
      <c r="BH15" s="54" t="s">
        <v>49</v>
      </c>
      <c r="BI15" s="48">
        <f>N15-AZ15</f>
        <v>-5</v>
      </c>
      <c r="BJ15" s="54" t="s">
        <v>49</v>
      </c>
      <c r="BK15" s="48">
        <f>P15-BB15</f>
        <v>-20</v>
      </c>
      <c r="BL15" s="54" t="s">
        <v>49</v>
      </c>
      <c r="BM15" s="54" t="s">
        <v>49</v>
      </c>
      <c r="BN15" s="55" t="s">
        <v>49</v>
      </c>
    </row>
    <row r="16" spans="1:66" ht="27" customHeight="1" x14ac:dyDescent="0.15">
      <c r="A16" s="59">
        <f>COUNTA(G15:I15,G17:I17,G19:I19,G21:I21,G23:I23,G25:I25,G27:I27,G29:I29,G31:I31,G33:I33)</f>
        <v>0</v>
      </c>
      <c r="B16" s="188"/>
      <c r="C16" s="189"/>
      <c r="D16" s="190"/>
      <c r="E16" s="56"/>
      <c r="F16" s="234"/>
      <c r="G16" s="160"/>
      <c r="H16" s="175"/>
      <c r="I16" s="164"/>
      <c r="J16" s="148"/>
      <c r="K16" s="45" t="s">
        <v>50</v>
      </c>
      <c r="L16" s="144">
        <f>COUNTIF($AU$13:$AV$114,L$10&amp;$K16)</f>
        <v>0</v>
      </c>
      <c r="M16" s="144">
        <f>COUNTIF($AU$13:$AV$114,M$10&amp;$K16)</f>
        <v>0</v>
      </c>
      <c r="N16" s="144">
        <f>COUNTIF($AU$13:$AV$114,N$10&amp;$K16)</f>
        <v>0</v>
      </c>
      <c r="O16" s="144">
        <f>COUNTIF($AU$13:$AV$114,O$10&amp;$K16)</f>
        <v>0</v>
      </c>
      <c r="P16" s="50" t="s">
        <v>49</v>
      </c>
      <c r="Q16" s="145">
        <f>COUNTIF($AU$13:$AV$114,Q$10&amp;$K16)</f>
        <v>0</v>
      </c>
      <c r="R16" s="171" t="s">
        <v>49</v>
      </c>
      <c r="S16" s="51" t="s">
        <v>49</v>
      </c>
      <c r="U16" s="150">
        <v>5</v>
      </c>
      <c r="V16" s="8"/>
      <c r="W16" s="8"/>
      <c r="X16" s="8"/>
      <c r="Y16" s="8"/>
      <c r="Z16" s="61"/>
      <c r="AA16" s="60"/>
      <c r="AB16" s="61"/>
      <c r="AC16" s="61"/>
      <c r="AD16" s="61"/>
      <c r="AE16" s="61"/>
      <c r="AF16" s="58">
        <f>IF(AE15=AF15,1,0)</f>
        <v>0</v>
      </c>
      <c r="AG16" s="58"/>
      <c r="AH16" s="8"/>
      <c r="AK16" s="3" t="str">
        <f>IF(BG20&gt;-1,"","5000m")</f>
        <v>5000m</v>
      </c>
      <c r="AL16" s="3" t="str">
        <f>IF(BH19&gt;-1,"","3000m")</f>
        <v>3000m</v>
      </c>
      <c r="AM16" s="3" t="str">
        <f>IF(BI20&gt;-1,"","5000m")</f>
        <v>5000m</v>
      </c>
      <c r="AN16" s="3" t="str">
        <f>IF(BJ19&gt;-1,"","3000m")</f>
        <v>3000m</v>
      </c>
      <c r="AO16" s="3" t="str">
        <f>IF(BK19&gt;-1,"","3000m")</f>
        <v>3000m</v>
      </c>
      <c r="AP16" s="3" t="str">
        <f>IF(BL19&gt;-1,"","3000m")</f>
        <v>3000m</v>
      </c>
      <c r="AQ16" s="8"/>
      <c r="AR16" s="8"/>
      <c r="AT16" s="8"/>
      <c r="AU16" s="52"/>
      <c r="AV16" s="53"/>
      <c r="AW16" s="45" t="s">
        <v>50</v>
      </c>
      <c r="AX16" s="48">
        <v>5</v>
      </c>
      <c r="AY16" s="48">
        <v>5</v>
      </c>
      <c r="AZ16" s="48">
        <v>5</v>
      </c>
      <c r="BA16" s="48">
        <v>5</v>
      </c>
      <c r="BB16" s="54" t="s">
        <v>49</v>
      </c>
      <c r="BC16" s="48">
        <v>20</v>
      </c>
      <c r="BD16" s="54" t="s">
        <v>49</v>
      </c>
      <c r="BE16" s="55" t="s">
        <v>49</v>
      </c>
      <c r="BF16" s="45" t="s">
        <v>50</v>
      </c>
      <c r="BG16" s="48">
        <f>L16-AX16</f>
        <v>-5</v>
      </c>
      <c r="BH16" s="48">
        <f t="shared" ref="BH16" si="3">M16-AY16</f>
        <v>-5</v>
      </c>
      <c r="BI16" s="48">
        <f t="shared" ref="BI16" si="4">N16-AZ16</f>
        <v>-5</v>
      </c>
      <c r="BJ16" s="48">
        <f t="shared" ref="BJ16" si="5">O16-BA16</f>
        <v>-5</v>
      </c>
      <c r="BK16" s="54" t="s">
        <v>49</v>
      </c>
      <c r="BL16" s="48">
        <f>Q16-BC16</f>
        <v>-20</v>
      </c>
      <c r="BM16" s="54" t="s">
        <v>49</v>
      </c>
      <c r="BN16" s="55" t="s">
        <v>49</v>
      </c>
    </row>
    <row r="17" spans="2:66" ht="27" customHeight="1" x14ac:dyDescent="0.15">
      <c r="B17" s="187">
        <f>IF(AG17&lt;1,2,"ﾅﾝﾊﾞｰｶｰﾄﾞが重複しています")</f>
        <v>2</v>
      </c>
      <c r="C17" s="189"/>
      <c r="D17" s="190"/>
      <c r="E17" s="56"/>
      <c r="F17" s="251"/>
      <c r="G17" s="135"/>
      <c r="H17" s="176"/>
      <c r="I17" s="165"/>
      <c r="J17" s="147" t="str">
        <f t="shared" ref="J17" si="6">IF(E17="","",IF(LEN(E17)-LEN(SUBSTITUTE(SUBSTITUTE(E17," ",),"　",))=1,"","氏名ｽﾍﾟｰｽ数"&amp;LEN(E17)-LEN(SUBSTITUTE(SUBSTITUTE(E17," ",),"　",))))</f>
        <v/>
      </c>
      <c r="K17" s="45" t="s">
        <v>142</v>
      </c>
      <c r="L17" s="50" t="s">
        <v>49</v>
      </c>
      <c r="M17" s="50" t="s">
        <v>49</v>
      </c>
      <c r="N17" s="50" t="s">
        <v>49</v>
      </c>
      <c r="O17" s="50" t="s">
        <v>49</v>
      </c>
      <c r="P17" s="50" t="s">
        <v>49</v>
      </c>
      <c r="Q17" s="51" t="s">
        <v>49</v>
      </c>
      <c r="R17" s="170">
        <f>COUNTIF($AU$13:$AV$114,R$10&amp;$K17)</f>
        <v>0</v>
      </c>
      <c r="S17" s="145">
        <f>COUNTIF($AU$13:$AV$114,S$10&amp;$K17)</f>
        <v>0</v>
      </c>
      <c r="U17" s="150">
        <v>6</v>
      </c>
      <c r="V17" s="8"/>
      <c r="W17" s="8"/>
      <c r="X17" s="8"/>
      <c r="Y17" s="8"/>
      <c r="Z17" s="57" t="str">
        <f t="shared" ref="Z17" si="7">$B$4&amp;C17</f>
        <v>一般</v>
      </c>
      <c r="AA17" s="57" t="str">
        <f>IF(D17="","",C17&amp;D17)</f>
        <v/>
      </c>
      <c r="AB17" s="57">
        <f>IF(AA17="",1,AA17)</f>
        <v>1</v>
      </c>
      <c r="AC17" s="57">
        <f>IF(ISERROR(VLOOKUP(AB17,$AA$13:AA16,1,FALSE)),0,VLOOKUP(AB17,$AA$13:AA16,1,FALSE))</f>
        <v>0</v>
      </c>
      <c r="AD17" s="57" t="str">
        <f>IF(D17="","",C17&amp;D17&amp;E17)</f>
        <v/>
      </c>
      <c r="AE17" s="57">
        <f>IF(AD17="",1,AD17)</f>
        <v>1</v>
      </c>
      <c r="AF17" s="58">
        <f>IF(ISERROR(VLOOKUP(AE17,$AD$13:AD16,1,FALSE)),0,VLOOKUP(AE17,$AD$13:AD16,1,FALSE))</f>
        <v>0</v>
      </c>
      <c r="AG17" s="58">
        <f>IF(AB17=AC17,1,0)-AF18</f>
        <v>0</v>
      </c>
      <c r="AH17" s="8"/>
      <c r="AK17" s="3" t="str">
        <f>IF(BG23&gt;-1,"","走高跳")</f>
        <v>走高跳</v>
      </c>
      <c r="AL17" s="3" t="str">
        <f>IF(BH23&gt;-1,"","走高跳")</f>
        <v>走高跳</v>
      </c>
      <c r="AM17" s="3" t="str">
        <f>IF(BI23&gt;-1,"","走高跳")</f>
        <v>走高跳</v>
      </c>
      <c r="AN17" s="3" t="str">
        <f>IF(BJ23&gt;-1,"","走高跳")</f>
        <v>走高跳</v>
      </c>
      <c r="AO17" s="3" t="str">
        <f>IF(BK22&gt;-1,"","110mH(0.914m)")</f>
        <v>110mH(0.914m)</v>
      </c>
      <c r="AP17" s="3" t="str">
        <f>IF(BL21&gt;-1,"","100mH(0.762m)")</f>
        <v>100mH(0.762m)</v>
      </c>
      <c r="AT17" s="8"/>
      <c r="AU17" s="46" t="str">
        <f>$B$4&amp;C19&amp;G19</f>
        <v>一般</v>
      </c>
      <c r="AV17" s="47" t="str">
        <f>$B$4&amp;C19&amp;H19</f>
        <v>一般</v>
      </c>
      <c r="AW17" s="45" t="s">
        <v>142</v>
      </c>
      <c r="AX17" s="54" t="s">
        <v>49</v>
      </c>
      <c r="AY17" s="54" t="s">
        <v>49</v>
      </c>
      <c r="AZ17" s="54" t="s">
        <v>49</v>
      </c>
      <c r="BA17" s="54" t="s">
        <v>49</v>
      </c>
      <c r="BB17" s="54" t="s">
        <v>49</v>
      </c>
      <c r="BC17" s="54" t="s">
        <v>49</v>
      </c>
      <c r="BD17" s="48">
        <v>0</v>
      </c>
      <c r="BE17" s="49">
        <v>0</v>
      </c>
      <c r="BF17" s="45" t="s">
        <v>142</v>
      </c>
      <c r="BG17" s="54" t="s">
        <v>49</v>
      </c>
      <c r="BH17" s="54" t="s">
        <v>49</v>
      </c>
      <c r="BI17" s="54" t="s">
        <v>49</v>
      </c>
      <c r="BJ17" s="54" t="s">
        <v>49</v>
      </c>
      <c r="BK17" s="54" t="s">
        <v>49</v>
      </c>
      <c r="BL17" s="54" t="s">
        <v>49</v>
      </c>
      <c r="BM17" s="48">
        <f t="shared" ref="BM17" si="8">R17-BD17</f>
        <v>0</v>
      </c>
      <c r="BN17" s="49">
        <f t="shared" ref="BN17" si="9">S17-BE17</f>
        <v>0</v>
      </c>
    </row>
    <row r="18" spans="2:66" ht="27" customHeight="1" x14ac:dyDescent="0.15">
      <c r="B18" s="188"/>
      <c r="C18" s="189"/>
      <c r="D18" s="190"/>
      <c r="E18" s="56"/>
      <c r="F18" s="234"/>
      <c r="G18" s="160"/>
      <c r="H18" s="175"/>
      <c r="I18" s="164"/>
      <c r="J18" s="148"/>
      <c r="K18" s="45" t="s">
        <v>60</v>
      </c>
      <c r="L18" s="50" t="s">
        <v>49</v>
      </c>
      <c r="M18" s="50" t="s">
        <v>49</v>
      </c>
      <c r="N18" s="50" t="s">
        <v>49</v>
      </c>
      <c r="O18" s="50" t="s">
        <v>49</v>
      </c>
      <c r="P18" s="144">
        <f>COUNTIF($AU$13:$AV$114,P$10&amp;$K18)</f>
        <v>0</v>
      </c>
      <c r="Q18" s="51" t="s">
        <v>49</v>
      </c>
      <c r="R18" s="171" t="s">
        <v>49</v>
      </c>
      <c r="S18" s="51" t="s">
        <v>49</v>
      </c>
      <c r="T18" s="8"/>
      <c r="U18" s="150">
        <v>7</v>
      </c>
      <c r="V18" s="8"/>
      <c r="W18" s="8"/>
      <c r="X18" s="8"/>
      <c r="Y18" s="8"/>
      <c r="Z18" s="61"/>
      <c r="AA18" s="60"/>
      <c r="AB18" s="61"/>
      <c r="AC18" s="61"/>
      <c r="AD18" s="61"/>
      <c r="AE18" s="61"/>
      <c r="AF18" s="58">
        <f>IF(AE17=AF17,1,0)</f>
        <v>0</v>
      </c>
      <c r="AG18" s="58"/>
      <c r="AH18" s="8"/>
      <c r="AI18" s="27"/>
      <c r="AJ18" s="8"/>
      <c r="AK18" s="3" t="str">
        <f>IF(BG24&gt;-1,"","走幅跳")</f>
        <v>走幅跳</v>
      </c>
      <c r="AL18" s="3" t="str">
        <f>IF(BH24&gt;-1,"","走幅跳")</f>
        <v>走幅跳</v>
      </c>
      <c r="AM18" s="3" t="str">
        <f>IF(BI24&gt;-1,"","走幅跳")</f>
        <v>走幅跳</v>
      </c>
      <c r="AN18" s="3" t="str">
        <f>IF(BJ24&gt;-1,"","走幅跳")</f>
        <v>走幅跳</v>
      </c>
      <c r="AO18" s="3" t="str">
        <f>IF(BK23&gt;-1,"","走高跳")</f>
        <v>走高跳</v>
      </c>
      <c r="AP18" s="3" t="str">
        <f>IF(BL23&gt;-1,"","走高跳")</f>
        <v>走高跳</v>
      </c>
      <c r="AT18" s="8"/>
      <c r="AU18" s="52"/>
      <c r="AV18" s="53"/>
      <c r="AW18" s="45" t="s">
        <v>60</v>
      </c>
      <c r="AX18" s="54" t="s">
        <v>49</v>
      </c>
      <c r="AY18" s="54" t="s">
        <v>49</v>
      </c>
      <c r="AZ18" s="54" t="s">
        <v>49</v>
      </c>
      <c r="BA18" s="54" t="s">
        <v>49</v>
      </c>
      <c r="BB18" s="48">
        <v>20</v>
      </c>
      <c r="BC18" s="54" t="s">
        <v>49</v>
      </c>
      <c r="BD18" s="54" t="s">
        <v>49</v>
      </c>
      <c r="BE18" s="55" t="s">
        <v>49</v>
      </c>
      <c r="BF18" s="45" t="s">
        <v>60</v>
      </c>
      <c r="BG18" s="54" t="s">
        <v>49</v>
      </c>
      <c r="BH18" s="54" t="s">
        <v>49</v>
      </c>
      <c r="BI18" s="54" t="s">
        <v>49</v>
      </c>
      <c r="BJ18" s="54" t="s">
        <v>49</v>
      </c>
      <c r="BK18" s="48">
        <f>P18-BB18</f>
        <v>-20</v>
      </c>
      <c r="BL18" s="54" t="s">
        <v>49</v>
      </c>
      <c r="BM18" s="54" t="s">
        <v>49</v>
      </c>
      <c r="BN18" s="55" t="s">
        <v>49</v>
      </c>
    </row>
    <row r="19" spans="2:66" ht="27" customHeight="1" x14ac:dyDescent="0.15">
      <c r="B19" s="187">
        <f>IF(AG19&lt;1,3,"ﾅﾝﾊﾞｰｶｰﾄﾞが重複しています")</f>
        <v>3</v>
      </c>
      <c r="C19" s="189"/>
      <c r="D19" s="190"/>
      <c r="E19" s="56"/>
      <c r="F19" s="251"/>
      <c r="G19" s="135"/>
      <c r="H19" s="176"/>
      <c r="I19" s="165"/>
      <c r="J19" s="147" t="str">
        <f t="shared" ref="J19" si="10">IF(E19="","",IF(LEN(E19)-LEN(SUBSTITUTE(SUBSTITUTE(E19," ",),"　",))=1,"","氏名ｽﾍﾟｰｽ数"&amp;LEN(E19)-LEN(SUBSTITUTE(SUBSTITUTE(E19," ",),"　",))))</f>
        <v/>
      </c>
      <c r="K19" s="45" t="s">
        <v>70</v>
      </c>
      <c r="L19" s="50" t="s">
        <v>49</v>
      </c>
      <c r="M19" s="144">
        <f>COUNTIF($AU$13:$AV$114,M$10&amp;$K19)</f>
        <v>0</v>
      </c>
      <c r="N19" s="50" t="s">
        <v>49</v>
      </c>
      <c r="O19" s="144">
        <f>COUNTIF($AU$13:$AV$114,O$10&amp;$K19)</f>
        <v>0</v>
      </c>
      <c r="P19" s="144">
        <f>COUNTIF($AU$13:$AV$114,P$10&amp;$K19)</f>
        <v>0</v>
      </c>
      <c r="Q19" s="145">
        <f>COUNTIF($AU$13:$AV$114,Q$10&amp;$K19)</f>
        <v>0</v>
      </c>
      <c r="R19" s="171" t="s">
        <v>49</v>
      </c>
      <c r="S19" s="51" t="s">
        <v>49</v>
      </c>
      <c r="T19" s="8"/>
      <c r="U19" s="149" t="s">
        <v>143</v>
      </c>
      <c r="V19" s="8"/>
      <c r="W19" s="8"/>
      <c r="X19" s="8"/>
      <c r="Y19" s="8"/>
      <c r="Z19" s="57" t="str">
        <f t="shared" ref="Z19" si="11">$B$4&amp;C19</f>
        <v>一般</v>
      </c>
      <c r="AA19" s="57" t="str">
        <f>IF(D19="","",C19&amp;D19)</f>
        <v/>
      </c>
      <c r="AB19" s="57">
        <f>IF(AA19="",1,AA19)</f>
        <v>1</v>
      </c>
      <c r="AC19" s="57">
        <f>IF(ISERROR(VLOOKUP(AB19,$AA$13:AA18,1,FALSE)),0,VLOOKUP(AB19,$AA$13:AA18,1,FALSE))</f>
        <v>0</v>
      </c>
      <c r="AD19" s="57" t="str">
        <f>IF(D19="","",C19&amp;D19&amp;E19)</f>
        <v/>
      </c>
      <c r="AE19" s="57">
        <f>IF(AD19="",1,AD19)</f>
        <v>1</v>
      </c>
      <c r="AF19" s="58">
        <f>IF(ISERROR(VLOOKUP(AE19,$AD$13:AD18,1,FALSE)),0,VLOOKUP(AE19,$AD$13:AD18,1,FALSE))</f>
        <v>0</v>
      </c>
      <c r="AG19" s="58">
        <f>IF(AB19=AC19,1,0)-AF20</f>
        <v>0</v>
      </c>
      <c r="AH19" s="8"/>
      <c r="AI19" s="27"/>
      <c r="AJ19" s="8"/>
      <c r="AK19" s="3" t="str">
        <f>IF(BG28&gt;-1,"","やり投(800g)")</f>
        <v>やり投(800g)</v>
      </c>
      <c r="AL19" s="3" t="str">
        <f>IF(BH27&gt;-1,"","やり投(600g)")</f>
        <v>やり投(600g)</v>
      </c>
      <c r="AM19" s="3" t="str">
        <f>IF(BI28&gt;-1,"","やり投(800g)")</f>
        <v>やり投(800g)</v>
      </c>
      <c r="AN19" s="3" t="str">
        <f>IF(BJ27&gt;-1,"","やり投(600g)")</f>
        <v>やり投(600g)</v>
      </c>
      <c r="AO19" s="3" t="str">
        <f>IF(BK24&gt;-1,"","走幅跳")</f>
        <v>走幅跳</v>
      </c>
      <c r="AP19" s="3" t="str">
        <f>IF(BL24&gt;-1,"","走幅跳")</f>
        <v>走幅跳</v>
      </c>
      <c r="AU19" s="46" t="str">
        <f>$B$4&amp;C21&amp;G21</f>
        <v>一般</v>
      </c>
      <c r="AV19" s="47" t="str">
        <f>$B$4&amp;C21&amp;H21</f>
        <v>一般</v>
      </c>
      <c r="AW19" s="45" t="s">
        <v>70</v>
      </c>
      <c r="AX19" s="54" t="s">
        <v>49</v>
      </c>
      <c r="AY19" s="48">
        <v>5</v>
      </c>
      <c r="AZ19" s="54" t="s">
        <v>49</v>
      </c>
      <c r="BA19" s="48">
        <v>5</v>
      </c>
      <c r="BB19" s="48">
        <v>20</v>
      </c>
      <c r="BC19" s="48">
        <v>20</v>
      </c>
      <c r="BD19" s="54" t="s">
        <v>49</v>
      </c>
      <c r="BE19" s="55" t="s">
        <v>49</v>
      </c>
      <c r="BF19" s="45" t="s">
        <v>70</v>
      </c>
      <c r="BG19" s="54" t="s">
        <v>49</v>
      </c>
      <c r="BH19" s="48">
        <f>M19-AY19</f>
        <v>-5</v>
      </c>
      <c r="BI19" s="54" t="s">
        <v>49</v>
      </c>
      <c r="BJ19" s="48">
        <f t="shared" ref="BJ19" si="12">O19-BA19</f>
        <v>-5</v>
      </c>
      <c r="BK19" s="48">
        <f t="shared" ref="BK19" si="13">P19-BB19</f>
        <v>-20</v>
      </c>
      <c r="BL19" s="48">
        <f t="shared" ref="BL19" si="14">Q19-BC19</f>
        <v>-20</v>
      </c>
      <c r="BM19" s="54" t="s">
        <v>49</v>
      </c>
      <c r="BN19" s="55" t="s">
        <v>49</v>
      </c>
    </row>
    <row r="20" spans="2:66" ht="27" customHeight="1" x14ac:dyDescent="0.15">
      <c r="B20" s="188"/>
      <c r="C20" s="189"/>
      <c r="D20" s="190"/>
      <c r="E20" s="56"/>
      <c r="F20" s="234"/>
      <c r="G20" s="160"/>
      <c r="H20" s="175"/>
      <c r="I20" s="164"/>
      <c r="J20" s="148"/>
      <c r="K20" s="45" t="s">
        <v>64</v>
      </c>
      <c r="L20" s="144">
        <f>COUNTIF($AU$13:$AV$114,L$10&amp;$K20)</f>
        <v>0</v>
      </c>
      <c r="M20" s="50" t="s">
        <v>49</v>
      </c>
      <c r="N20" s="144">
        <f>COUNTIF($AU$13:$AV$114,N$10&amp;$K20)</f>
        <v>0</v>
      </c>
      <c r="O20" s="50" t="s">
        <v>49</v>
      </c>
      <c r="P20" s="50" t="s">
        <v>49</v>
      </c>
      <c r="Q20" s="51" t="s">
        <v>49</v>
      </c>
      <c r="R20" s="171" t="s">
        <v>49</v>
      </c>
      <c r="S20" s="51" t="s">
        <v>49</v>
      </c>
      <c r="T20" s="8"/>
      <c r="U20" s="149" t="s">
        <v>146</v>
      </c>
      <c r="V20" s="8"/>
      <c r="W20" s="8"/>
      <c r="X20" s="8"/>
      <c r="Y20" s="8"/>
      <c r="Z20" s="61"/>
      <c r="AA20" s="61"/>
      <c r="AB20" s="61"/>
      <c r="AC20" s="61"/>
      <c r="AD20" s="61"/>
      <c r="AE20" s="61"/>
      <c r="AF20" s="58">
        <f>IF(AE19=AF19,1,0)</f>
        <v>0</v>
      </c>
      <c r="AG20" s="58"/>
      <c r="AH20" s="8"/>
      <c r="AI20" s="27"/>
      <c r="AJ20" s="8"/>
      <c r="AO20" s="3" t="str">
        <f>IF(BK26="","","砲丸投(5.000kg)")</f>
        <v>砲丸投(5.000kg)</v>
      </c>
      <c r="AP20" s="3" t="str">
        <f>IF(BL25&gt;-1,"","砲丸投(2.721kg)")</f>
        <v>砲丸投(2.721kg)</v>
      </c>
      <c r="AU20" s="52"/>
      <c r="AV20" s="53"/>
      <c r="AW20" s="45" t="s">
        <v>64</v>
      </c>
      <c r="AX20" s="48">
        <v>5</v>
      </c>
      <c r="AY20" s="54" t="s">
        <v>49</v>
      </c>
      <c r="AZ20" s="48">
        <v>5</v>
      </c>
      <c r="BA20" s="54" t="s">
        <v>49</v>
      </c>
      <c r="BB20" s="54" t="s">
        <v>49</v>
      </c>
      <c r="BC20" s="54" t="s">
        <v>49</v>
      </c>
      <c r="BD20" s="54" t="s">
        <v>49</v>
      </c>
      <c r="BE20" s="55" t="s">
        <v>49</v>
      </c>
      <c r="BF20" s="45" t="s">
        <v>64</v>
      </c>
      <c r="BG20" s="48">
        <f>L20-AX20</f>
        <v>-5</v>
      </c>
      <c r="BH20" s="54" t="s">
        <v>49</v>
      </c>
      <c r="BI20" s="48">
        <f>N20-AZ20</f>
        <v>-5</v>
      </c>
      <c r="BJ20" s="54" t="s">
        <v>49</v>
      </c>
      <c r="BK20" s="54" t="s">
        <v>49</v>
      </c>
      <c r="BL20" s="54" t="s">
        <v>49</v>
      </c>
      <c r="BM20" s="54" t="s">
        <v>49</v>
      </c>
      <c r="BN20" s="55" t="s">
        <v>49</v>
      </c>
    </row>
    <row r="21" spans="2:66" ht="27" customHeight="1" x14ac:dyDescent="0.15">
      <c r="B21" s="187">
        <f>IF(AG21&lt;1,4,"ﾅﾝﾊﾞｰｶｰﾄﾞが重複しています")</f>
        <v>4</v>
      </c>
      <c r="C21" s="189"/>
      <c r="D21" s="190"/>
      <c r="E21" s="56"/>
      <c r="F21" s="251"/>
      <c r="G21" s="135"/>
      <c r="H21" s="176"/>
      <c r="I21" s="165"/>
      <c r="J21" s="147" t="str">
        <f t="shared" ref="J21" si="15">IF(E21="","",IF(LEN(E21)-LEN(SUBSTITUTE(SUBSTITUTE(E21," ",),"　",))=1,"","氏名ｽﾍﾟｰｽ数"&amp;LEN(E21)-LEN(SUBSTITUTE(SUBSTITUTE(E21," ",),"　",))))</f>
        <v/>
      </c>
      <c r="K21" s="45" t="s">
        <v>75</v>
      </c>
      <c r="L21" s="50" t="s">
        <v>49</v>
      </c>
      <c r="M21" s="50" t="s">
        <v>49</v>
      </c>
      <c r="N21" s="50" t="s">
        <v>49</v>
      </c>
      <c r="O21" s="50" t="s">
        <v>49</v>
      </c>
      <c r="P21" s="50" t="s">
        <v>49</v>
      </c>
      <c r="Q21" s="145">
        <f>COUNTIF($AU$13:$AV$114,Q$10&amp;$K21)</f>
        <v>0</v>
      </c>
      <c r="R21" s="171" t="s">
        <v>49</v>
      </c>
      <c r="S21" s="51" t="s">
        <v>49</v>
      </c>
      <c r="T21" s="8"/>
      <c r="U21" s="8"/>
      <c r="V21" s="8"/>
      <c r="W21" s="8"/>
      <c r="X21" s="8"/>
      <c r="Y21" s="8"/>
      <c r="Z21" s="57" t="str">
        <f t="shared" ref="Z21" si="16">$B$4&amp;C21</f>
        <v>一般</v>
      </c>
      <c r="AA21" s="57" t="str">
        <f>IF(D21="","",C21&amp;D21)</f>
        <v/>
      </c>
      <c r="AB21" s="57">
        <f>IF(AA21="",1,AA21)</f>
        <v>1</v>
      </c>
      <c r="AC21" s="57">
        <f>IF(ISERROR(VLOOKUP(AB21,$AA$13:AA20,1,FALSE)),0,VLOOKUP(AB21,$AA$13:AA20,1,FALSE))</f>
        <v>0</v>
      </c>
      <c r="AD21" s="57" t="str">
        <f>IF(D21="","",C21&amp;D21&amp;E21)</f>
        <v/>
      </c>
      <c r="AE21" s="57">
        <f>IF(AD21="",1,AD21)</f>
        <v>1</v>
      </c>
      <c r="AF21" s="58">
        <f>IF(ISERROR(VLOOKUP(AE21,$AD$13:AD20,1,FALSE)),0,VLOOKUP(AE21,$AD$13:AD20,1,FALSE))</f>
        <v>0</v>
      </c>
      <c r="AG21" s="58">
        <f>IF(AB21=AC21,1,0)-AF22</f>
        <v>0</v>
      </c>
      <c r="AH21" s="8"/>
      <c r="AI21" s="8"/>
      <c r="AJ21" s="8"/>
      <c r="AU21" s="46" t="str">
        <f>$B$4&amp;C23&amp;G23</f>
        <v>一般</v>
      </c>
      <c r="AV21" s="47" t="str">
        <f>$B$4&amp;C23&amp;H23</f>
        <v>一般</v>
      </c>
      <c r="AW21" s="45" t="s">
        <v>75</v>
      </c>
      <c r="AX21" s="54" t="s">
        <v>49</v>
      </c>
      <c r="AY21" s="54" t="s">
        <v>49</v>
      </c>
      <c r="AZ21" s="54" t="s">
        <v>49</v>
      </c>
      <c r="BA21" s="54" t="s">
        <v>49</v>
      </c>
      <c r="BB21" s="54" t="s">
        <v>49</v>
      </c>
      <c r="BC21" s="48">
        <v>20</v>
      </c>
      <c r="BD21" s="54" t="s">
        <v>49</v>
      </c>
      <c r="BE21" s="55" t="s">
        <v>49</v>
      </c>
      <c r="BF21" s="45" t="s">
        <v>75</v>
      </c>
      <c r="BG21" s="54" t="s">
        <v>49</v>
      </c>
      <c r="BH21" s="54" t="s">
        <v>49</v>
      </c>
      <c r="BI21" s="54" t="s">
        <v>49</v>
      </c>
      <c r="BJ21" s="54" t="s">
        <v>49</v>
      </c>
      <c r="BK21" s="54" t="s">
        <v>49</v>
      </c>
      <c r="BL21" s="48">
        <f>Q21-BC21</f>
        <v>-20</v>
      </c>
      <c r="BM21" s="54" t="s">
        <v>49</v>
      </c>
      <c r="BN21" s="55" t="s">
        <v>49</v>
      </c>
    </row>
    <row r="22" spans="2:66" ht="27" customHeight="1" x14ac:dyDescent="0.15">
      <c r="B22" s="188"/>
      <c r="C22" s="189"/>
      <c r="D22" s="190"/>
      <c r="E22" s="56"/>
      <c r="F22" s="234"/>
      <c r="G22" s="160"/>
      <c r="H22" s="175"/>
      <c r="I22" s="164"/>
      <c r="J22" s="148"/>
      <c r="K22" s="45" t="s">
        <v>76</v>
      </c>
      <c r="L22" s="50" t="s">
        <v>49</v>
      </c>
      <c r="M22" s="50" t="s">
        <v>49</v>
      </c>
      <c r="N22" s="50" t="s">
        <v>49</v>
      </c>
      <c r="O22" s="50" t="s">
        <v>49</v>
      </c>
      <c r="P22" s="144">
        <f>COUNTIF($AU$13:$AV$114,P$10&amp;$K22)</f>
        <v>0</v>
      </c>
      <c r="Q22" s="51" t="s">
        <v>49</v>
      </c>
      <c r="R22" s="171" t="s">
        <v>49</v>
      </c>
      <c r="S22" s="51" t="s">
        <v>49</v>
      </c>
      <c r="T22" s="8"/>
      <c r="U22" s="8"/>
      <c r="V22" s="8"/>
      <c r="W22" s="8"/>
      <c r="X22" s="8"/>
      <c r="Y22" s="8"/>
      <c r="Z22" s="61"/>
      <c r="AA22" s="61"/>
      <c r="AB22" s="61"/>
      <c r="AC22" s="61"/>
      <c r="AD22" s="61"/>
      <c r="AE22" s="61"/>
      <c r="AF22" s="58">
        <f>IF(AE21=AF21,1,0)</f>
        <v>0</v>
      </c>
      <c r="AG22" s="58"/>
      <c r="AH22" s="8"/>
      <c r="AI22" s="62"/>
      <c r="AJ22" s="8"/>
      <c r="AU22" s="52"/>
      <c r="AV22" s="53"/>
      <c r="AW22" s="45" t="s">
        <v>76</v>
      </c>
      <c r="AX22" s="54" t="s">
        <v>49</v>
      </c>
      <c r="AY22" s="54" t="s">
        <v>49</v>
      </c>
      <c r="AZ22" s="54" t="s">
        <v>49</v>
      </c>
      <c r="BA22" s="54" t="s">
        <v>49</v>
      </c>
      <c r="BB22" s="48">
        <v>20</v>
      </c>
      <c r="BC22" s="54" t="s">
        <v>49</v>
      </c>
      <c r="BD22" s="54" t="s">
        <v>49</v>
      </c>
      <c r="BE22" s="55" t="s">
        <v>49</v>
      </c>
      <c r="BF22" s="45" t="s">
        <v>76</v>
      </c>
      <c r="BG22" s="54" t="s">
        <v>49</v>
      </c>
      <c r="BH22" s="54" t="s">
        <v>49</v>
      </c>
      <c r="BI22" s="54" t="s">
        <v>49</v>
      </c>
      <c r="BJ22" s="54" t="s">
        <v>49</v>
      </c>
      <c r="BK22" s="48">
        <f>P22-BB22</f>
        <v>-20</v>
      </c>
      <c r="BL22" s="54" t="s">
        <v>49</v>
      </c>
      <c r="BM22" s="54" t="s">
        <v>49</v>
      </c>
      <c r="BN22" s="55" t="s">
        <v>49</v>
      </c>
    </row>
    <row r="23" spans="2:66" ht="27" customHeight="1" x14ac:dyDescent="0.15">
      <c r="B23" s="187">
        <f>IF(AG23&lt;1,5,"ﾅﾝﾊﾞｰｶｰﾄﾞが重複しています")</f>
        <v>5</v>
      </c>
      <c r="C23" s="189"/>
      <c r="D23" s="190"/>
      <c r="E23" s="56"/>
      <c r="F23" s="251"/>
      <c r="G23" s="135"/>
      <c r="H23" s="176"/>
      <c r="I23" s="165"/>
      <c r="J23" s="147" t="str">
        <f t="shared" ref="J23" si="17">IF(E23="","",IF(LEN(E23)-LEN(SUBSTITUTE(SUBSTITUTE(E23," ",),"　",))=1,"","氏名ｽﾍﾟｰｽ数"&amp;LEN(E23)-LEN(SUBSTITUTE(SUBSTITUTE(E23," ",),"　",))))</f>
        <v/>
      </c>
      <c r="K23" s="45" t="s">
        <v>53</v>
      </c>
      <c r="L23" s="144">
        <f t="shared" ref="L23:O24" si="18">COUNTIF($AU$13:$AV$114,L$10&amp;$K23)</f>
        <v>0</v>
      </c>
      <c r="M23" s="144">
        <f t="shared" si="18"/>
        <v>0</v>
      </c>
      <c r="N23" s="144">
        <f t="shared" si="18"/>
        <v>0</v>
      </c>
      <c r="O23" s="144">
        <f t="shared" si="18"/>
        <v>0</v>
      </c>
      <c r="P23" s="144">
        <f>COUNTIF($AU$13:$AV$114,P$10&amp;$K23)</f>
        <v>0</v>
      </c>
      <c r="Q23" s="145">
        <f>COUNTIF($AU$13:$AV$114,Q$10&amp;$K23)</f>
        <v>0</v>
      </c>
      <c r="R23" s="171" t="s">
        <v>49</v>
      </c>
      <c r="S23" s="51" t="s">
        <v>49</v>
      </c>
      <c r="T23" s="8"/>
      <c r="U23" s="8"/>
      <c r="V23" s="8"/>
      <c r="W23" s="8"/>
      <c r="X23" s="8"/>
      <c r="Y23" s="3"/>
      <c r="Z23" s="57" t="str">
        <f t="shared" ref="Z23" si="19">$B$4&amp;C23</f>
        <v>一般</v>
      </c>
      <c r="AA23" s="57" t="str">
        <f>IF(D23="","",C23&amp;D23)</f>
        <v/>
      </c>
      <c r="AB23" s="57">
        <f>IF(AA23="",1,AA23)</f>
        <v>1</v>
      </c>
      <c r="AC23" s="57">
        <f>IF(ISERROR(VLOOKUP(AB23,$AA$13:AA22,1,FALSE)),0,VLOOKUP(AB23,$AA$13:AA22,1,FALSE))</f>
        <v>0</v>
      </c>
      <c r="AD23" s="57" t="str">
        <f>IF(D23="","",C23&amp;D23&amp;E23)</f>
        <v/>
      </c>
      <c r="AE23" s="57">
        <f>IF(AD23="",1,AD23)</f>
        <v>1</v>
      </c>
      <c r="AF23" s="58">
        <f>IF(ISERROR(VLOOKUP(AE23,$AD$13:AD22,1,FALSE)),0,VLOOKUP(AE23,$AD$13:AD22,1,FALSE))</f>
        <v>0</v>
      </c>
      <c r="AG23" s="58">
        <f>IF(AB23=AC23,1,0)-AF24</f>
        <v>0</v>
      </c>
      <c r="AH23" s="8"/>
      <c r="AI23" s="8"/>
      <c r="AJ23" s="8"/>
      <c r="AU23" s="46" t="str">
        <f>$B$4&amp;C25&amp;G25</f>
        <v>一般</v>
      </c>
      <c r="AV23" s="47" t="str">
        <f>$B$4&amp;C25&amp;H25</f>
        <v>一般</v>
      </c>
      <c r="AW23" s="45" t="s">
        <v>53</v>
      </c>
      <c r="AX23" s="48">
        <v>5</v>
      </c>
      <c r="AY23" s="48">
        <v>5</v>
      </c>
      <c r="AZ23" s="48">
        <v>5</v>
      </c>
      <c r="BA23" s="48">
        <v>5</v>
      </c>
      <c r="BB23" s="48">
        <v>20</v>
      </c>
      <c r="BC23" s="48">
        <v>20</v>
      </c>
      <c r="BD23" s="54" t="s">
        <v>49</v>
      </c>
      <c r="BE23" s="55" t="s">
        <v>49</v>
      </c>
      <c r="BF23" s="45" t="s">
        <v>53</v>
      </c>
      <c r="BG23" s="48">
        <f t="shared" ref="BG23:BG24" si="20">L23-AX23</f>
        <v>-5</v>
      </c>
      <c r="BH23" s="48">
        <f t="shared" ref="BH23:BH24" si="21">M23-AY23</f>
        <v>-5</v>
      </c>
      <c r="BI23" s="48">
        <f t="shared" ref="BI23:BI24" si="22">N23-AZ23</f>
        <v>-5</v>
      </c>
      <c r="BJ23" s="48">
        <f t="shared" ref="BJ23:BJ24" si="23">O23-BA23</f>
        <v>-5</v>
      </c>
      <c r="BK23" s="48">
        <f t="shared" ref="BK23:BK24" si="24">P23-BB23</f>
        <v>-20</v>
      </c>
      <c r="BL23" s="48">
        <f t="shared" ref="BL23:BL25" si="25">Q23-BC23</f>
        <v>-20</v>
      </c>
      <c r="BM23" s="54" t="s">
        <v>49</v>
      </c>
      <c r="BN23" s="55" t="s">
        <v>49</v>
      </c>
    </row>
    <row r="24" spans="2:66" ht="27" customHeight="1" x14ac:dyDescent="0.15">
      <c r="B24" s="188"/>
      <c r="C24" s="189"/>
      <c r="D24" s="190"/>
      <c r="E24" s="56"/>
      <c r="F24" s="234"/>
      <c r="G24" s="160"/>
      <c r="H24" s="175"/>
      <c r="I24" s="164"/>
      <c r="J24" s="148"/>
      <c r="K24" s="45" t="s">
        <v>65</v>
      </c>
      <c r="L24" s="144">
        <f t="shared" si="18"/>
        <v>0</v>
      </c>
      <c r="M24" s="144">
        <f t="shared" si="18"/>
        <v>0</v>
      </c>
      <c r="N24" s="144">
        <f t="shared" si="18"/>
        <v>0</v>
      </c>
      <c r="O24" s="144">
        <f t="shared" si="18"/>
        <v>0</v>
      </c>
      <c r="P24" s="144">
        <f>COUNTIF($AU$13:$AV$114,P$10&amp;$K24)</f>
        <v>0</v>
      </c>
      <c r="Q24" s="145">
        <f>COUNTIF($AU$13:$AV$114,Q$10&amp;$K24)</f>
        <v>0</v>
      </c>
      <c r="R24" s="171" t="s">
        <v>49</v>
      </c>
      <c r="S24" s="51" t="s">
        <v>49</v>
      </c>
      <c r="T24" s="3"/>
      <c r="U24" s="3"/>
      <c r="V24" s="3"/>
      <c r="W24" s="3"/>
      <c r="X24" s="3"/>
      <c r="Y24" s="3"/>
      <c r="Z24" s="61"/>
      <c r="AA24" s="61"/>
      <c r="AB24" s="61"/>
      <c r="AC24" s="61"/>
      <c r="AD24" s="61"/>
      <c r="AE24" s="61"/>
      <c r="AF24" s="58">
        <f>IF(AE23=AF23,1,0)</f>
        <v>0</v>
      </c>
      <c r="AG24" s="58"/>
      <c r="AU24" s="52"/>
      <c r="AV24" s="53"/>
      <c r="AW24" s="45" t="s">
        <v>65</v>
      </c>
      <c r="AX24" s="48">
        <v>5</v>
      </c>
      <c r="AY24" s="48">
        <v>5</v>
      </c>
      <c r="AZ24" s="48">
        <v>5</v>
      </c>
      <c r="BA24" s="48">
        <v>5</v>
      </c>
      <c r="BB24" s="48">
        <v>20</v>
      </c>
      <c r="BC24" s="48">
        <v>20</v>
      </c>
      <c r="BD24" s="48">
        <v>0</v>
      </c>
      <c r="BE24" s="49">
        <v>0</v>
      </c>
      <c r="BF24" s="45" t="s">
        <v>65</v>
      </c>
      <c r="BG24" s="48">
        <f t="shared" si="20"/>
        <v>-5</v>
      </c>
      <c r="BH24" s="48">
        <f t="shared" si="21"/>
        <v>-5</v>
      </c>
      <c r="BI24" s="48">
        <f t="shared" si="22"/>
        <v>-5</v>
      </c>
      <c r="BJ24" s="48">
        <f t="shared" si="23"/>
        <v>-5</v>
      </c>
      <c r="BK24" s="48">
        <f t="shared" si="24"/>
        <v>-20</v>
      </c>
      <c r="BL24" s="48">
        <f t="shared" si="25"/>
        <v>-20</v>
      </c>
      <c r="BM24" s="54" t="s">
        <v>49</v>
      </c>
      <c r="BN24" s="55" t="s">
        <v>49</v>
      </c>
    </row>
    <row r="25" spans="2:66" ht="27" customHeight="1" x14ac:dyDescent="0.15">
      <c r="B25" s="187">
        <f>IF(AG25&lt;1,6,"ﾅﾝﾊﾞｰｶｰﾄﾞが重複しています")</f>
        <v>6</v>
      </c>
      <c r="C25" s="189"/>
      <c r="D25" s="190"/>
      <c r="E25" s="56"/>
      <c r="F25" s="251"/>
      <c r="G25" s="135"/>
      <c r="H25" s="176"/>
      <c r="I25" s="165"/>
      <c r="J25" s="147" t="str">
        <f t="shared" ref="J25" si="26">IF(E25="","",IF(LEN(E25)-LEN(SUBSTITUTE(SUBSTITUTE(E25," ",),"　",))=1,"","氏名ｽﾍﾟｰｽ数"&amp;LEN(E25)-LEN(SUBSTITUTE(SUBSTITUTE(E25," ",),"　",))))</f>
        <v/>
      </c>
      <c r="K25" s="45" t="s">
        <v>61</v>
      </c>
      <c r="L25" s="50" t="s">
        <v>49</v>
      </c>
      <c r="M25" s="50" t="s">
        <v>49</v>
      </c>
      <c r="N25" s="50" t="s">
        <v>49</v>
      </c>
      <c r="O25" s="50" t="s">
        <v>49</v>
      </c>
      <c r="P25" s="50" t="s">
        <v>49</v>
      </c>
      <c r="Q25" s="145">
        <f>COUNTIF($AU$13:$AV$114,Q$10&amp;$K25)</f>
        <v>0</v>
      </c>
      <c r="R25" s="171" t="s">
        <v>49</v>
      </c>
      <c r="S25" s="51" t="s">
        <v>49</v>
      </c>
      <c r="T25" s="3"/>
      <c r="U25" s="3"/>
      <c r="V25" s="3"/>
      <c r="W25" s="3"/>
      <c r="X25" s="3"/>
      <c r="Y25" s="3"/>
      <c r="Z25" s="57" t="str">
        <f t="shared" ref="Z25" si="27">$B$4&amp;C25</f>
        <v>一般</v>
      </c>
      <c r="AA25" s="57" t="str">
        <f>IF(D25="","",C25&amp;D25)</f>
        <v/>
      </c>
      <c r="AB25" s="57">
        <f>IF(AA25="",1,AA25)</f>
        <v>1</v>
      </c>
      <c r="AC25" s="57">
        <f>IF(ISERROR(VLOOKUP(AB25,$AA$13:AA24,1,FALSE)),0,VLOOKUP(AB25,$AA$13:AA24,1,FALSE))</f>
        <v>0</v>
      </c>
      <c r="AD25" s="57" t="str">
        <f>IF(D25="","",C25&amp;D25&amp;E25)</f>
        <v/>
      </c>
      <c r="AE25" s="57">
        <f>IF(AD25="",1,AD25)</f>
        <v>1</v>
      </c>
      <c r="AF25" s="58">
        <f>IF(ISERROR(VLOOKUP(AE25,$AD$13:AD24,1,FALSE)),0,VLOOKUP(AE25,$AD$13:AD24,1,FALSE))</f>
        <v>0</v>
      </c>
      <c r="AG25" s="58">
        <f>IF(AB25=AC25,1,0)-AF26</f>
        <v>0</v>
      </c>
      <c r="AU25" s="46" t="str">
        <f>$B$4&amp;C27&amp;G27</f>
        <v>一般</v>
      </c>
      <c r="AV25" s="47" t="str">
        <f>$B$4&amp;C27&amp;H27</f>
        <v>一般</v>
      </c>
      <c r="AW25" s="45" t="s">
        <v>61</v>
      </c>
      <c r="AX25" s="54" t="s">
        <v>49</v>
      </c>
      <c r="AY25" s="54" t="s">
        <v>49</v>
      </c>
      <c r="AZ25" s="54" t="s">
        <v>49</v>
      </c>
      <c r="BA25" s="54" t="s">
        <v>49</v>
      </c>
      <c r="BB25" s="54" t="s">
        <v>49</v>
      </c>
      <c r="BC25" s="48">
        <v>20</v>
      </c>
      <c r="BD25" s="54" t="s">
        <v>49</v>
      </c>
      <c r="BE25" s="55" t="s">
        <v>49</v>
      </c>
      <c r="BF25" s="45" t="s">
        <v>61</v>
      </c>
      <c r="BG25" s="54" t="s">
        <v>49</v>
      </c>
      <c r="BH25" s="54" t="s">
        <v>49</v>
      </c>
      <c r="BI25" s="54" t="s">
        <v>49</v>
      </c>
      <c r="BJ25" s="54" t="s">
        <v>49</v>
      </c>
      <c r="BK25" s="54" t="s">
        <v>49</v>
      </c>
      <c r="BL25" s="48">
        <f t="shared" si="25"/>
        <v>-20</v>
      </c>
      <c r="BM25" s="54" t="s">
        <v>49</v>
      </c>
      <c r="BN25" s="55" t="s">
        <v>49</v>
      </c>
    </row>
    <row r="26" spans="2:66" ht="27" customHeight="1" x14ac:dyDescent="0.15">
      <c r="B26" s="188"/>
      <c r="C26" s="189"/>
      <c r="D26" s="190"/>
      <c r="E26" s="56"/>
      <c r="F26" s="234"/>
      <c r="G26" s="160"/>
      <c r="H26" s="175"/>
      <c r="I26" s="164"/>
      <c r="J26" s="148"/>
      <c r="K26" s="45" t="s">
        <v>54</v>
      </c>
      <c r="L26" s="50" t="s">
        <v>49</v>
      </c>
      <c r="M26" s="50" t="s">
        <v>49</v>
      </c>
      <c r="N26" s="50" t="s">
        <v>49</v>
      </c>
      <c r="O26" s="50" t="s">
        <v>49</v>
      </c>
      <c r="P26" s="144">
        <f>COUNTIF($AU$13:$AV$114,P$10&amp;$K26)</f>
        <v>0</v>
      </c>
      <c r="Q26" s="51" t="s">
        <v>49</v>
      </c>
      <c r="R26" s="171" t="s">
        <v>49</v>
      </c>
      <c r="S26" s="51" t="s">
        <v>49</v>
      </c>
      <c r="T26" s="3"/>
      <c r="U26" s="3"/>
      <c r="V26" s="3"/>
      <c r="W26" s="3"/>
      <c r="X26" s="3"/>
      <c r="Y26" s="3"/>
      <c r="Z26" s="61"/>
      <c r="AA26" s="61"/>
      <c r="AB26" s="61"/>
      <c r="AC26" s="61"/>
      <c r="AD26" s="61"/>
      <c r="AE26" s="61"/>
      <c r="AF26" s="58">
        <f>IF(AE25=AF25,1,0)</f>
        <v>0</v>
      </c>
      <c r="AG26" s="58"/>
      <c r="AU26" s="52"/>
      <c r="AV26" s="53"/>
      <c r="AW26" s="45" t="s">
        <v>54</v>
      </c>
      <c r="AX26" s="54" t="s">
        <v>49</v>
      </c>
      <c r="AY26" s="54" t="s">
        <v>49</v>
      </c>
      <c r="AZ26" s="54" t="s">
        <v>49</v>
      </c>
      <c r="BA26" s="54" t="s">
        <v>49</v>
      </c>
      <c r="BB26" s="48">
        <v>20</v>
      </c>
      <c r="BC26" s="54" t="s">
        <v>49</v>
      </c>
      <c r="BD26" s="54" t="s">
        <v>49</v>
      </c>
      <c r="BE26" s="55" t="s">
        <v>49</v>
      </c>
      <c r="BF26" s="45" t="s">
        <v>54</v>
      </c>
      <c r="BG26" s="54" t="s">
        <v>49</v>
      </c>
      <c r="BH26" s="54" t="s">
        <v>49</v>
      </c>
      <c r="BI26" s="54" t="s">
        <v>49</v>
      </c>
      <c r="BJ26" s="54" t="s">
        <v>49</v>
      </c>
      <c r="BK26" s="48">
        <f t="shared" ref="BK26" si="28">P26-BB26</f>
        <v>-20</v>
      </c>
      <c r="BL26" s="54" t="s">
        <v>49</v>
      </c>
      <c r="BM26" s="54" t="s">
        <v>49</v>
      </c>
      <c r="BN26" s="55" t="s">
        <v>49</v>
      </c>
    </row>
    <row r="27" spans="2:66" ht="27" customHeight="1" x14ac:dyDescent="0.15">
      <c r="B27" s="187">
        <f>IF(AG27&lt;1,7,"ﾅﾝﾊﾞｰｶｰﾄﾞが重複しています")</f>
        <v>7</v>
      </c>
      <c r="C27" s="189"/>
      <c r="D27" s="190"/>
      <c r="E27" s="56"/>
      <c r="F27" s="251"/>
      <c r="G27" s="135"/>
      <c r="H27" s="176"/>
      <c r="I27" s="165"/>
      <c r="J27" s="147" t="str">
        <f t="shared" ref="J27" si="29">IF(E27="","",IF(LEN(E27)-LEN(SUBSTITUTE(SUBSTITUTE(E27," ",),"　",))=1,"","氏名ｽﾍﾟｰｽ数"&amp;LEN(E27)-LEN(SUBSTITUTE(SUBSTITUTE(E27," ",),"　",))))</f>
        <v/>
      </c>
      <c r="K27" s="45" t="s">
        <v>130</v>
      </c>
      <c r="L27" s="50" t="s">
        <v>49</v>
      </c>
      <c r="M27" s="144">
        <f>COUNTIF($AU$13:$AV$114,M$10&amp;$K27)</f>
        <v>0</v>
      </c>
      <c r="N27" s="50" t="s">
        <v>49</v>
      </c>
      <c r="O27" s="144">
        <f>COUNTIF($AU$13:$AV$114,O$10&amp;$K27)</f>
        <v>0</v>
      </c>
      <c r="P27" s="50" t="s">
        <v>49</v>
      </c>
      <c r="Q27" s="51" t="s">
        <v>49</v>
      </c>
      <c r="R27" s="171" t="s">
        <v>49</v>
      </c>
      <c r="S27" s="51" t="s">
        <v>49</v>
      </c>
      <c r="T27" s="3"/>
      <c r="U27" s="3"/>
      <c r="V27" s="3"/>
      <c r="W27" s="3"/>
      <c r="X27" s="3"/>
      <c r="Y27" s="3"/>
      <c r="Z27" s="57" t="str">
        <f t="shared" ref="Z27" si="30">$B$4&amp;C27</f>
        <v>一般</v>
      </c>
      <c r="AA27" s="57" t="str">
        <f>IF(D27="","",C27&amp;D27)</f>
        <v/>
      </c>
      <c r="AB27" s="57">
        <f>IF(AA27="",1,AA27)</f>
        <v>1</v>
      </c>
      <c r="AC27" s="57">
        <f>IF(ISERROR(VLOOKUP(AB27,$AA$13:AA26,1,FALSE)),0,VLOOKUP(AB27,$AA$13:AA26,1,FALSE))</f>
        <v>0</v>
      </c>
      <c r="AD27" s="57" t="str">
        <f>IF(D27="","",C27&amp;D27&amp;E27)</f>
        <v/>
      </c>
      <c r="AE27" s="57">
        <f>IF(AD27="",1,AD27)</f>
        <v>1</v>
      </c>
      <c r="AF27" s="58">
        <f>IF(ISERROR(VLOOKUP(AE27,$AD$13:AD26,1,FALSE)),0,VLOOKUP(AE27,$AD$13:AD26,1,FALSE))</f>
        <v>0</v>
      </c>
      <c r="AG27" s="58">
        <f>IF(AB27=AC27,1,0)-AF28</f>
        <v>0</v>
      </c>
      <c r="AI27" s="13"/>
      <c r="AU27" s="46" t="str">
        <f>$B$4&amp;C29&amp;G29</f>
        <v>一般</v>
      </c>
      <c r="AV27" s="47" t="str">
        <f>$B$4&amp;C29&amp;H29</f>
        <v>一般</v>
      </c>
      <c r="AW27" s="45" t="s">
        <v>130</v>
      </c>
      <c r="AX27" s="54" t="s">
        <v>49</v>
      </c>
      <c r="AY27" s="48">
        <v>5</v>
      </c>
      <c r="AZ27" s="54" t="s">
        <v>49</v>
      </c>
      <c r="BA27" s="48">
        <v>5</v>
      </c>
      <c r="BB27" s="54" t="s">
        <v>49</v>
      </c>
      <c r="BC27" s="54" t="s">
        <v>49</v>
      </c>
      <c r="BD27" s="54" t="s">
        <v>49</v>
      </c>
      <c r="BE27" s="55" t="s">
        <v>49</v>
      </c>
      <c r="BF27" s="45" t="s">
        <v>130</v>
      </c>
      <c r="BG27" s="54" t="s">
        <v>49</v>
      </c>
      <c r="BH27" s="48">
        <f t="shared" ref="BH27" si="31">M27-AY27</f>
        <v>-5</v>
      </c>
      <c r="BI27" s="54" t="s">
        <v>49</v>
      </c>
      <c r="BJ27" s="48">
        <f t="shared" ref="BJ27" si="32">O27-BA27</f>
        <v>-5</v>
      </c>
      <c r="BK27" s="54" t="s">
        <v>49</v>
      </c>
      <c r="BL27" s="54" t="s">
        <v>49</v>
      </c>
      <c r="BM27" s="54" t="s">
        <v>49</v>
      </c>
      <c r="BN27" s="55" t="s">
        <v>49</v>
      </c>
    </row>
    <row r="28" spans="2:66" ht="27" customHeight="1" thickBot="1" x14ac:dyDescent="0.2">
      <c r="B28" s="188"/>
      <c r="C28" s="189"/>
      <c r="D28" s="190"/>
      <c r="E28" s="56"/>
      <c r="F28" s="234"/>
      <c r="G28" s="160"/>
      <c r="H28" s="175"/>
      <c r="I28" s="164"/>
      <c r="J28" s="148"/>
      <c r="K28" s="63" t="s">
        <v>131</v>
      </c>
      <c r="L28" s="146">
        <f>COUNTIF($AU$13:$AV$114,L$10&amp;$K28)</f>
        <v>0</v>
      </c>
      <c r="M28" s="64" t="s">
        <v>49</v>
      </c>
      <c r="N28" s="146">
        <f>COUNTIF($AU$13:$AV$114,N$10&amp;$K28)</f>
        <v>0</v>
      </c>
      <c r="O28" s="64" t="s">
        <v>49</v>
      </c>
      <c r="P28" s="64" t="s">
        <v>49</v>
      </c>
      <c r="Q28" s="65" t="s">
        <v>49</v>
      </c>
      <c r="R28" s="172" t="s">
        <v>49</v>
      </c>
      <c r="S28" s="65" t="s">
        <v>49</v>
      </c>
      <c r="T28" s="3"/>
      <c r="U28" s="3"/>
      <c r="V28" s="3"/>
      <c r="W28" s="3"/>
      <c r="X28" s="3"/>
      <c r="Y28" s="3"/>
      <c r="Z28" s="61"/>
      <c r="AA28" s="61"/>
      <c r="AB28" s="61"/>
      <c r="AC28" s="61"/>
      <c r="AD28" s="61"/>
      <c r="AE28" s="61"/>
      <c r="AF28" s="58">
        <f>IF(AE27=AF27,1,0)</f>
        <v>0</v>
      </c>
      <c r="AG28" s="58"/>
      <c r="AI28" s="13"/>
      <c r="AU28" s="52"/>
      <c r="AV28" s="53"/>
      <c r="AW28" s="63" t="s">
        <v>131</v>
      </c>
      <c r="AX28" s="66">
        <v>5</v>
      </c>
      <c r="AY28" s="67" t="s">
        <v>49</v>
      </c>
      <c r="AZ28" s="66">
        <v>5</v>
      </c>
      <c r="BA28" s="67" t="s">
        <v>49</v>
      </c>
      <c r="BB28" s="67" t="s">
        <v>49</v>
      </c>
      <c r="BC28" s="67" t="s">
        <v>49</v>
      </c>
      <c r="BD28" s="67" t="s">
        <v>49</v>
      </c>
      <c r="BE28" s="68" t="s">
        <v>49</v>
      </c>
      <c r="BF28" s="63" t="s">
        <v>131</v>
      </c>
      <c r="BG28" s="66">
        <f t="shared" ref="BG28" si="33">L28-AX28</f>
        <v>-5</v>
      </c>
      <c r="BH28" s="67" t="s">
        <v>49</v>
      </c>
      <c r="BI28" s="66">
        <f t="shared" ref="BI28" si="34">N28-AZ28</f>
        <v>-5</v>
      </c>
      <c r="BJ28" s="67" t="s">
        <v>49</v>
      </c>
      <c r="BK28" s="67" t="s">
        <v>49</v>
      </c>
      <c r="BL28" s="67" t="s">
        <v>49</v>
      </c>
      <c r="BM28" s="67" t="s">
        <v>49</v>
      </c>
      <c r="BN28" s="68" t="s">
        <v>49</v>
      </c>
    </row>
    <row r="29" spans="2:66" ht="27" customHeight="1" x14ac:dyDescent="0.15">
      <c r="B29" s="187">
        <f>IF(AG29&lt;1,8,"ﾅﾝﾊﾞｰｶｰﾄﾞが重複しています")</f>
        <v>8</v>
      </c>
      <c r="C29" s="189"/>
      <c r="D29" s="190"/>
      <c r="E29" s="56"/>
      <c r="F29" s="251"/>
      <c r="G29" s="135"/>
      <c r="H29" s="176"/>
      <c r="I29" s="165"/>
      <c r="J29" s="147" t="str">
        <f t="shared" ref="J29" si="35">IF(E29="","",IF(LEN(E29)-LEN(SUBSTITUTE(SUBSTITUTE(E29," ",),"　",))=1,"","氏名ｽﾍﾟｰｽ数"&amp;LEN(E29)-LEN(SUBSTITUTE(SUBSTITUTE(E29," ",),"　",))))</f>
        <v/>
      </c>
      <c r="T29" s="3"/>
      <c r="U29" s="3"/>
      <c r="V29" s="3"/>
      <c r="W29" s="3"/>
      <c r="X29" s="3"/>
      <c r="Y29" s="3"/>
      <c r="Z29" s="57" t="str">
        <f t="shared" ref="Z29" si="36">$B$4&amp;C29</f>
        <v>一般</v>
      </c>
      <c r="AA29" s="57" t="str">
        <f>IF(D29="","",C29&amp;D29)</f>
        <v/>
      </c>
      <c r="AB29" s="57">
        <f>IF(AA29="",1,AA29)</f>
        <v>1</v>
      </c>
      <c r="AC29" s="57">
        <f>IF(ISERROR(VLOOKUP(AB29,$AA$13:AA28,1,FALSE)),0,VLOOKUP(AB29,$AA$13:AA28,1,FALSE))</f>
        <v>0</v>
      </c>
      <c r="AD29" s="57" t="str">
        <f>IF(D29="","",C29&amp;D29&amp;E29)</f>
        <v/>
      </c>
      <c r="AE29" s="57">
        <f>IF(AD29="",1,AD29)</f>
        <v>1</v>
      </c>
      <c r="AF29" s="58">
        <f>IF(ISERROR(VLOOKUP(AE29,$AD$13:AD28,1,FALSE)),0,VLOOKUP(AE29,$AD$13:AD28,1,FALSE))</f>
        <v>0</v>
      </c>
      <c r="AG29" s="58">
        <f>IF(AB29=AC29,1,0)-AF30</f>
        <v>0</v>
      </c>
      <c r="AI29" s="13"/>
      <c r="AU29" s="46" t="str">
        <f>$B$4&amp;C31&amp;G31</f>
        <v>一般</v>
      </c>
      <c r="AV29" s="69" t="str">
        <f>$B$4&amp;C31&amp;H31</f>
        <v>一般</v>
      </c>
    </row>
    <row r="30" spans="2:66" ht="27" customHeight="1" x14ac:dyDescent="0.15">
      <c r="B30" s="188"/>
      <c r="C30" s="189"/>
      <c r="D30" s="190"/>
      <c r="E30" s="56"/>
      <c r="F30" s="234"/>
      <c r="G30" s="160"/>
      <c r="H30" s="175"/>
      <c r="I30" s="164"/>
      <c r="J30" s="148"/>
      <c r="R30" s="3"/>
      <c r="S30" s="3"/>
      <c r="T30" s="3"/>
      <c r="U30" s="3"/>
      <c r="V30" s="3"/>
      <c r="W30" s="3"/>
      <c r="X30" s="3"/>
      <c r="Y30" s="3"/>
      <c r="Z30" s="61"/>
      <c r="AA30" s="61"/>
      <c r="AB30" s="61"/>
      <c r="AC30" s="61"/>
      <c r="AD30" s="61"/>
      <c r="AE30" s="61"/>
      <c r="AF30" s="58">
        <f>IF(AE29=AF29,1,0)</f>
        <v>0</v>
      </c>
      <c r="AG30" s="58"/>
      <c r="AI30" s="13"/>
      <c r="AU30" s="52"/>
      <c r="AV30" s="70"/>
    </row>
    <row r="31" spans="2:66" ht="27" customHeight="1" x14ac:dyDescent="0.15">
      <c r="B31" s="187">
        <f>IF(AG31&lt;1,9,"ﾅﾝﾊﾞｰｶｰﾄﾞが重複しています")</f>
        <v>9</v>
      </c>
      <c r="C31" s="189"/>
      <c r="D31" s="190"/>
      <c r="E31" s="56"/>
      <c r="F31" s="251"/>
      <c r="G31" s="135"/>
      <c r="H31" s="176"/>
      <c r="I31" s="165"/>
      <c r="J31" s="147" t="str">
        <f t="shared" ref="J31" si="37">IF(E31="","",IF(LEN(E31)-LEN(SUBSTITUTE(SUBSTITUTE(E31," ",),"　",))=1,"","氏名ｽﾍﾟｰｽ数"&amp;LEN(E31)-LEN(SUBSTITUTE(SUBSTITUTE(E31," ",),"　",))))</f>
        <v/>
      </c>
      <c r="T31" s="3"/>
      <c r="U31" s="3"/>
      <c r="V31" s="3"/>
      <c r="W31" s="3"/>
      <c r="X31" s="3"/>
      <c r="Y31" s="3"/>
      <c r="Z31" s="57" t="str">
        <f t="shared" ref="Z31" si="38">$B$4&amp;C31</f>
        <v>一般</v>
      </c>
      <c r="AA31" s="57" t="str">
        <f>IF(D31="","",C31&amp;D31)</f>
        <v/>
      </c>
      <c r="AB31" s="57">
        <f>IF(AA31="",1,AA31)</f>
        <v>1</v>
      </c>
      <c r="AC31" s="57">
        <f>IF(ISERROR(VLOOKUP(AB31,$AA$13:AA30,1,FALSE)),0,VLOOKUP(AB31,$AA$13:AA30,1,FALSE))</f>
        <v>0</v>
      </c>
      <c r="AD31" s="57" t="str">
        <f>IF(D31="","",C31&amp;D31&amp;E31)</f>
        <v/>
      </c>
      <c r="AE31" s="57">
        <f>IF(AD31="",1,AD31)</f>
        <v>1</v>
      </c>
      <c r="AF31" s="58">
        <f>IF(ISERROR(VLOOKUP(AE31,$AD$13:AD30,1,FALSE)),0,VLOOKUP(AE31,$AD$13:AD30,1,FALSE))</f>
        <v>0</v>
      </c>
      <c r="AG31" s="58">
        <f>IF(AB31=AC31,1,0)-AF32</f>
        <v>0</v>
      </c>
      <c r="AI31" s="13"/>
      <c r="AU31" s="46" t="str">
        <f>$B$4&amp;C33&amp;G33</f>
        <v>一般</v>
      </c>
      <c r="AV31" s="69" t="str">
        <f>$B$4&amp;C33&amp;H33</f>
        <v>一般</v>
      </c>
    </row>
    <row r="32" spans="2:66" ht="27" customHeight="1" x14ac:dyDescent="0.15">
      <c r="B32" s="188"/>
      <c r="C32" s="189"/>
      <c r="D32" s="190"/>
      <c r="E32" s="56"/>
      <c r="F32" s="234"/>
      <c r="G32" s="160"/>
      <c r="H32" s="175"/>
      <c r="I32" s="164"/>
      <c r="J32" s="148"/>
      <c r="R32" s="3"/>
      <c r="S32" s="3"/>
      <c r="T32" s="3"/>
      <c r="U32" s="3"/>
      <c r="V32" s="3"/>
      <c r="W32" s="3"/>
      <c r="X32" s="3"/>
      <c r="Y32" s="3"/>
      <c r="Z32" s="61"/>
      <c r="AA32" s="61"/>
      <c r="AB32" s="61"/>
      <c r="AC32" s="61"/>
      <c r="AD32" s="61"/>
      <c r="AE32" s="61"/>
      <c r="AF32" s="58">
        <f>IF(AE31=AF31,1,0)</f>
        <v>0</v>
      </c>
      <c r="AG32" s="58"/>
      <c r="AI32" s="13"/>
      <c r="AU32" s="52"/>
      <c r="AV32" s="70"/>
    </row>
    <row r="33" spans="1:48" ht="27" customHeight="1" thickBot="1" x14ac:dyDescent="0.2">
      <c r="B33" s="194">
        <f>IF(AG33&lt;1,10,"ﾅﾝﾊﾞｰｶｰﾄﾞが重複しています")</f>
        <v>10</v>
      </c>
      <c r="C33" s="189"/>
      <c r="D33" s="190"/>
      <c r="E33" s="56"/>
      <c r="F33" s="251"/>
      <c r="G33" s="135"/>
      <c r="H33" s="176"/>
      <c r="I33" s="165"/>
      <c r="J33" s="147" t="str">
        <f t="shared" ref="J33" si="39">IF(E33="","",IF(LEN(E33)-LEN(SUBSTITUTE(SUBSTITUTE(E33," ",),"　",))=1,"","氏名ｽﾍﾟｰｽ数"&amp;LEN(E33)-LEN(SUBSTITUTE(SUBSTITUTE(E33," ",),"　",))))</f>
        <v/>
      </c>
      <c r="R33" s="3"/>
      <c r="S33" s="3"/>
      <c r="T33" s="3"/>
      <c r="U33" s="3"/>
      <c r="V33" s="3"/>
      <c r="W33" s="3"/>
      <c r="X33" s="3"/>
      <c r="Y33" s="3"/>
      <c r="Z33" s="57" t="str">
        <f t="shared" ref="Z33" si="40">$B$4&amp;C33</f>
        <v>一般</v>
      </c>
      <c r="AA33" s="57" t="str">
        <f>IF(D33="","",C33&amp;D33)</f>
        <v/>
      </c>
      <c r="AB33" s="57">
        <f>IF(AA33="",1,AA33)</f>
        <v>1</v>
      </c>
      <c r="AC33" s="57">
        <f>IF(ISERROR(VLOOKUP(AB33,$AA$13:AA32,1,FALSE)),0,VLOOKUP(AB33,$AA$13:AA32,1,FALSE))</f>
        <v>0</v>
      </c>
      <c r="AD33" s="57" t="str">
        <f>IF(D33="","",C33&amp;D33&amp;E33)</f>
        <v/>
      </c>
      <c r="AE33" s="57">
        <f>IF(AD33="",1,AD33)</f>
        <v>1</v>
      </c>
      <c r="AF33" s="58">
        <f>IF(ISERROR(VLOOKUP(AE33,$AD$13:AD32,1,FALSE)),0,VLOOKUP(AE33,$AD$13:AD32,1,FALSE))</f>
        <v>0</v>
      </c>
      <c r="AG33" s="58">
        <f>IF(AB33=AC33,1,0)-AF34</f>
        <v>0</v>
      </c>
      <c r="AU33" s="46" t="str">
        <f>$B$4&amp;C35&amp;G35</f>
        <v>一般</v>
      </c>
      <c r="AV33" s="69" t="str">
        <f>$B$4&amp;C35&amp;H35</f>
        <v>一般</v>
      </c>
    </row>
    <row r="34" spans="1:48" ht="27" customHeight="1" thickBot="1" x14ac:dyDescent="0.2">
      <c r="B34" s="195"/>
      <c r="C34" s="196"/>
      <c r="D34" s="197"/>
      <c r="E34" s="71"/>
      <c r="F34" s="252"/>
      <c r="G34" s="161"/>
      <c r="H34" s="177"/>
      <c r="I34" s="166"/>
      <c r="J34" s="148"/>
      <c r="R34" s="3"/>
      <c r="S34" s="3"/>
      <c r="T34" s="3"/>
      <c r="U34" s="3"/>
      <c r="V34" s="3"/>
      <c r="W34" s="3"/>
      <c r="X34" s="3"/>
      <c r="Y34" s="3"/>
      <c r="Z34" s="61"/>
      <c r="AA34" s="61"/>
      <c r="AB34" s="61"/>
      <c r="AC34" s="61"/>
      <c r="AD34" s="61"/>
      <c r="AE34" s="61"/>
      <c r="AF34" s="58">
        <f>IF(AE33=AF33,1,0)</f>
        <v>0</v>
      </c>
      <c r="AG34" s="58"/>
      <c r="AI34" s="13"/>
      <c r="AU34" s="52"/>
      <c r="AV34" s="70"/>
    </row>
    <row r="35" spans="1:48" ht="27" customHeight="1" thickBot="1" x14ac:dyDescent="0.2">
      <c r="A35" s="24">
        <f>COUNTA(E35,E37,E39,E41,E43,E45,E47,E49,E51,E53)</f>
        <v>0</v>
      </c>
      <c r="B35" s="195">
        <f>IF(AG35&lt;1,11,"ﾅﾝﾊﾞｰｶｰﾄﾞが重複しています")</f>
        <v>11</v>
      </c>
      <c r="C35" s="192"/>
      <c r="D35" s="193"/>
      <c r="E35" s="72"/>
      <c r="F35" s="233"/>
      <c r="G35" s="140"/>
      <c r="H35" s="174"/>
      <c r="I35" s="163"/>
      <c r="J35" s="147" t="str">
        <f t="shared" ref="J35" si="41">IF(E35="","",IF(LEN(E35)-LEN(SUBSTITUTE(SUBSTITUTE(E35," ",),"　",))=1,"","氏名ｽﾍﾟｰｽ数"&amp;LEN(E35)-LEN(SUBSTITUTE(SUBSTITUTE(E35," ",),"　",))))</f>
        <v/>
      </c>
      <c r="K35" s="73"/>
      <c r="L35" s="74"/>
      <c r="M35" s="75"/>
      <c r="N35" s="74"/>
      <c r="O35" s="75"/>
      <c r="P35" s="75"/>
      <c r="Q35" s="75"/>
      <c r="R35" s="3"/>
      <c r="S35" s="3"/>
      <c r="T35" s="3"/>
      <c r="U35" s="3"/>
      <c r="V35" s="3"/>
      <c r="W35" s="3"/>
      <c r="X35" s="3"/>
      <c r="Y35" s="3"/>
      <c r="Z35" s="57" t="str">
        <f t="shared" ref="Z35" si="42">$B$4&amp;C35</f>
        <v>一般</v>
      </c>
      <c r="AA35" s="57" t="str">
        <f>IF(D35="","",C35&amp;D35)</f>
        <v/>
      </c>
      <c r="AB35" s="57">
        <f>IF(AA35="",1,AA35)</f>
        <v>1</v>
      </c>
      <c r="AC35" s="57">
        <f>IF(ISERROR(VLOOKUP(AB35,$AA$13:AA34,1,FALSE)),0,VLOOKUP(AB35,$AA$13:AA34,1,FALSE))</f>
        <v>0</v>
      </c>
      <c r="AD35" s="57" t="str">
        <f>IF(D35="","",C35&amp;D35&amp;E35)</f>
        <v/>
      </c>
      <c r="AE35" s="57">
        <f>IF(AD35="",1,AD35)</f>
        <v>1</v>
      </c>
      <c r="AF35" s="58">
        <f>IF(ISERROR(VLOOKUP(AE35,$AD$13:AD34,1,FALSE)),0,VLOOKUP(AE35,$AD$13:AD34,1,FALSE))</f>
        <v>0</v>
      </c>
      <c r="AG35" s="58">
        <f>IF(AB35=AC35,1,0)-AF36</f>
        <v>0</v>
      </c>
      <c r="AU35" s="46" t="str">
        <f>$B$4&amp;C37&amp;G37</f>
        <v>一般</v>
      </c>
      <c r="AV35" s="69" t="str">
        <f>$B$4&amp;C37&amp;H37</f>
        <v>一般</v>
      </c>
    </row>
    <row r="36" spans="1:48" ht="27" customHeight="1" x14ac:dyDescent="0.15">
      <c r="A36" s="59">
        <f>COUNTA(G35:I35,G37:I37,G39:I39,G41:I41,G43:I43,G45:I45,G47:I47,G49:I49,G51:I51,G53:I53)</f>
        <v>0</v>
      </c>
      <c r="B36" s="198"/>
      <c r="C36" s="189"/>
      <c r="D36" s="190"/>
      <c r="E36" s="56"/>
      <c r="F36" s="234"/>
      <c r="G36" s="160"/>
      <c r="H36" s="175"/>
      <c r="I36" s="164"/>
      <c r="J36" s="148"/>
      <c r="K36" s="76"/>
      <c r="L36" s="74"/>
      <c r="M36" s="75"/>
      <c r="N36" s="74"/>
      <c r="O36" s="75"/>
      <c r="P36" s="75"/>
      <c r="Q36" s="75"/>
      <c r="R36" s="3"/>
      <c r="S36" s="3"/>
      <c r="T36" s="3"/>
      <c r="U36" s="3"/>
      <c r="V36" s="3"/>
      <c r="W36" s="3"/>
      <c r="X36" s="3"/>
      <c r="Y36" s="3"/>
      <c r="Z36" s="61"/>
      <c r="AA36" s="61"/>
      <c r="AB36" s="61"/>
      <c r="AC36" s="61"/>
      <c r="AD36" s="61"/>
      <c r="AE36" s="61"/>
      <c r="AF36" s="58">
        <f>IF(AE35=AF35,1,0)</f>
        <v>0</v>
      </c>
      <c r="AG36" s="58"/>
      <c r="AU36" s="52"/>
      <c r="AV36" s="70"/>
    </row>
    <row r="37" spans="1:48" ht="27" customHeight="1" x14ac:dyDescent="0.15">
      <c r="B37" s="187">
        <f>IF(AG37&lt;1,12,"ﾅﾝﾊﾞｰｶｰﾄﾞが重複しています")</f>
        <v>12</v>
      </c>
      <c r="C37" s="189"/>
      <c r="D37" s="190"/>
      <c r="E37" s="56"/>
      <c r="F37" s="251"/>
      <c r="G37" s="135"/>
      <c r="H37" s="176"/>
      <c r="I37" s="165"/>
      <c r="J37" s="147" t="str">
        <f t="shared" ref="J37" si="43">IF(E37="","",IF(LEN(E37)-LEN(SUBSTITUTE(SUBSTITUTE(E37," ",),"　",))=1,"","氏名ｽﾍﾟｰｽ数"&amp;LEN(E37)-LEN(SUBSTITUTE(SUBSTITUTE(E37," ",),"　",))))</f>
        <v/>
      </c>
      <c r="K37" s="73"/>
      <c r="L37" s="74"/>
      <c r="M37" s="75"/>
      <c r="N37" s="74"/>
      <c r="O37" s="75"/>
      <c r="P37" s="75"/>
      <c r="Q37" s="75"/>
      <c r="R37" s="3"/>
      <c r="S37" s="3"/>
      <c r="T37" s="3"/>
      <c r="U37" s="3"/>
      <c r="V37" s="3"/>
      <c r="W37" s="3"/>
      <c r="X37" s="3"/>
      <c r="Y37" s="3"/>
      <c r="Z37" s="57" t="str">
        <f t="shared" ref="Z37" si="44">$B$4&amp;C37</f>
        <v>一般</v>
      </c>
      <c r="AA37" s="57" t="str">
        <f>IF(D37="","",C37&amp;D37)</f>
        <v/>
      </c>
      <c r="AB37" s="57">
        <f>IF(AA37="",1,AA37)</f>
        <v>1</v>
      </c>
      <c r="AC37" s="57">
        <f>IF(ISERROR(VLOOKUP(AB37,$AA$13:AA36,1,FALSE)),0,VLOOKUP(AB37,$AA$13:AA36,1,FALSE))</f>
        <v>0</v>
      </c>
      <c r="AD37" s="57" t="str">
        <f>IF(D37="","",C37&amp;D37&amp;E37)</f>
        <v/>
      </c>
      <c r="AE37" s="57">
        <f>IF(AD37="",1,AD37)</f>
        <v>1</v>
      </c>
      <c r="AF37" s="58">
        <f>IF(ISERROR(VLOOKUP(AE37,$AD$13:AD36,1,FALSE)),0,VLOOKUP(AE37,$AD$13:AD36,1,FALSE))</f>
        <v>0</v>
      </c>
      <c r="AG37" s="58">
        <f>IF(AB37=AC37,1,0)-AF38</f>
        <v>0</v>
      </c>
      <c r="AU37" s="46" t="str">
        <f>$B$4&amp;C39&amp;G39</f>
        <v>一般</v>
      </c>
      <c r="AV37" s="69" t="str">
        <f>$B$4&amp;C39&amp;H39</f>
        <v>一般</v>
      </c>
    </row>
    <row r="38" spans="1:48" ht="27" customHeight="1" x14ac:dyDescent="0.15">
      <c r="B38" s="188"/>
      <c r="C38" s="189"/>
      <c r="D38" s="190"/>
      <c r="E38" s="56"/>
      <c r="F38" s="234"/>
      <c r="G38" s="160"/>
      <c r="H38" s="175"/>
      <c r="I38" s="164"/>
      <c r="J38" s="148"/>
      <c r="K38" s="73"/>
      <c r="L38" s="75"/>
      <c r="M38" s="75"/>
      <c r="N38" s="75"/>
      <c r="O38" s="75"/>
      <c r="P38" s="75"/>
      <c r="Q38" s="75"/>
      <c r="R38" s="3"/>
      <c r="S38" s="3"/>
      <c r="T38" s="3"/>
      <c r="U38" s="3"/>
      <c r="V38" s="3"/>
      <c r="W38" s="3"/>
      <c r="X38" s="3"/>
      <c r="Y38" s="3"/>
      <c r="Z38" s="61"/>
      <c r="AA38" s="61"/>
      <c r="AB38" s="61"/>
      <c r="AC38" s="61"/>
      <c r="AD38" s="61"/>
      <c r="AE38" s="61"/>
      <c r="AF38" s="58">
        <f>IF(AE37=AF37,1,0)</f>
        <v>0</v>
      </c>
      <c r="AG38" s="58"/>
      <c r="AU38" s="52"/>
      <c r="AV38" s="70"/>
    </row>
    <row r="39" spans="1:48" ht="27" customHeight="1" x14ac:dyDescent="0.15">
      <c r="B39" s="187">
        <f>IF(AG39&lt;1,13,"ﾅﾝﾊﾞｰｶｰﾄﾞが重複しています")</f>
        <v>13</v>
      </c>
      <c r="C39" s="189"/>
      <c r="D39" s="190"/>
      <c r="E39" s="56"/>
      <c r="F39" s="251"/>
      <c r="G39" s="135"/>
      <c r="H39" s="176"/>
      <c r="I39" s="165"/>
      <c r="J39" s="147" t="str">
        <f t="shared" ref="J39" si="45">IF(E39="","",IF(LEN(E39)-LEN(SUBSTITUTE(SUBSTITUTE(E39," ",),"　",))=1,"","氏名ｽﾍﾟｰｽ数"&amp;LEN(E39)-LEN(SUBSTITUTE(SUBSTITUTE(E39," ",),"　",))))</f>
        <v/>
      </c>
      <c r="R39" s="3"/>
      <c r="S39" s="3"/>
      <c r="T39" s="3"/>
      <c r="U39" s="3"/>
      <c r="V39" s="3"/>
      <c r="W39" s="3"/>
      <c r="X39" s="3"/>
      <c r="Y39" s="3"/>
      <c r="Z39" s="57" t="str">
        <f t="shared" ref="Z39" si="46">$B$4&amp;C39</f>
        <v>一般</v>
      </c>
      <c r="AA39" s="57" t="str">
        <f>IF(D39="","",C39&amp;D39)</f>
        <v/>
      </c>
      <c r="AB39" s="57">
        <f>IF(AA39="",1,AA39)</f>
        <v>1</v>
      </c>
      <c r="AC39" s="57">
        <f>IF(ISERROR(VLOOKUP(AB39,$AA$13:AA38,1,FALSE)),0,VLOOKUP(AB39,$AA$13:AA38,1,FALSE))</f>
        <v>0</v>
      </c>
      <c r="AD39" s="57" t="str">
        <f>IF(D39="","",C39&amp;D39&amp;E39)</f>
        <v/>
      </c>
      <c r="AE39" s="57">
        <f>IF(AD39="",1,AD39)</f>
        <v>1</v>
      </c>
      <c r="AF39" s="58">
        <f>IF(ISERROR(VLOOKUP(AE39,$AD$13:AD38,1,FALSE)),0,VLOOKUP(AE39,$AD$13:AD38,1,FALSE))</f>
        <v>0</v>
      </c>
      <c r="AG39" s="58">
        <f>IF(AB39=AC39,1,0)-AF40</f>
        <v>0</v>
      </c>
      <c r="AU39" s="46" t="str">
        <f>$B$4&amp;C41&amp;G41</f>
        <v>一般</v>
      </c>
      <c r="AV39" s="69" t="str">
        <f>$B$4&amp;C41&amp;H41</f>
        <v>一般</v>
      </c>
    </row>
    <row r="40" spans="1:48" ht="27" customHeight="1" x14ac:dyDescent="0.15">
      <c r="B40" s="188"/>
      <c r="C40" s="189"/>
      <c r="D40" s="190"/>
      <c r="E40" s="56"/>
      <c r="F40" s="234"/>
      <c r="G40" s="160"/>
      <c r="H40" s="175"/>
      <c r="I40" s="164"/>
      <c r="J40" s="148"/>
      <c r="R40" s="75"/>
      <c r="S40" s="75"/>
      <c r="T40" s="75"/>
      <c r="U40" s="75"/>
      <c r="V40" s="75"/>
      <c r="W40" s="75"/>
      <c r="X40" s="75"/>
      <c r="Y40" s="75"/>
      <c r="Z40" s="61"/>
      <c r="AA40" s="61"/>
      <c r="AB40" s="61"/>
      <c r="AC40" s="61"/>
      <c r="AD40" s="61"/>
      <c r="AE40" s="61"/>
      <c r="AF40" s="58">
        <f>IF(AE39=AF39,1,0)</f>
        <v>0</v>
      </c>
      <c r="AG40" s="58"/>
      <c r="AU40" s="52"/>
      <c r="AV40" s="70"/>
    </row>
    <row r="41" spans="1:48" ht="27" customHeight="1" x14ac:dyDescent="0.15">
      <c r="B41" s="187">
        <f>IF(AG41&lt;1,14,"ﾅﾝﾊﾞｰｶｰﾄﾞが重複しています")</f>
        <v>14</v>
      </c>
      <c r="C41" s="189"/>
      <c r="D41" s="190"/>
      <c r="E41" s="56"/>
      <c r="F41" s="251"/>
      <c r="G41" s="135"/>
      <c r="H41" s="176"/>
      <c r="I41" s="165"/>
      <c r="J41" s="147" t="str">
        <f t="shared" ref="J41" si="47">IF(E41="","",IF(LEN(E41)-LEN(SUBSTITUTE(SUBSTITUTE(E41," ",),"　",))=1,"","氏名ｽﾍﾟｰｽ数"&amp;LEN(E41)-LEN(SUBSTITUTE(SUBSTITUTE(E41," ",),"　",))))</f>
        <v/>
      </c>
      <c r="R41" s="74"/>
      <c r="S41" s="74"/>
      <c r="T41" s="74"/>
      <c r="U41" s="74"/>
      <c r="V41" s="74"/>
      <c r="W41" s="74"/>
      <c r="X41" s="74"/>
      <c r="Y41" s="75"/>
      <c r="Z41" s="57" t="str">
        <f t="shared" ref="Z41" si="48">$B$4&amp;C41</f>
        <v>一般</v>
      </c>
      <c r="AA41" s="57" t="str">
        <f>IF(D41="","",C41&amp;D41)</f>
        <v/>
      </c>
      <c r="AB41" s="57">
        <f>IF(AA41="",1,AA41)</f>
        <v>1</v>
      </c>
      <c r="AC41" s="57">
        <f>IF(ISERROR(VLOOKUP(AB41,$AA$13:AA40,1,FALSE)),0,VLOOKUP(AB41,$AA$13:AA40,1,FALSE))</f>
        <v>0</v>
      </c>
      <c r="AD41" s="57" t="str">
        <f>IF(D41="","",C41&amp;D41&amp;E41)</f>
        <v/>
      </c>
      <c r="AE41" s="57">
        <f>IF(AD41="",1,AD41)</f>
        <v>1</v>
      </c>
      <c r="AF41" s="58">
        <f>IF(ISERROR(VLOOKUP(AE41,$AD$13:AD40,1,FALSE)),0,VLOOKUP(AE41,$AD$13:AD40,1,FALSE))</f>
        <v>0</v>
      </c>
      <c r="AG41" s="58">
        <f>IF(AB41=AC41,1,0)-AF42</f>
        <v>0</v>
      </c>
      <c r="AU41" s="46" t="str">
        <f>$B$4&amp;C43&amp;G43</f>
        <v>一般</v>
      </c>
      <c r="AV41" s="69" t="str">
        <f>$B$4&amp;C43&amp;H43</f>
        <v>一般</v>
      </c>
    </row>
    <row r="42" spans="1:48" ht="27" customHeight="1" x14ac:dyDescent="0.15">
      <c r="B42" s="188"/>
      <c r="C42" s="189"/>
      <c r="D42" s="190"/>
      <c r="E42" s="56"/>
      <c r="F42" s="234"/>
      <c r="G42" s="160"/>
      <c r="H42" s="175"/>
      <c r="I42" s="164"/>
      <c r="J42" s="148"/>
      <c r="R42" s="74"/>
      <c r="S42" s="74"/>
      <c r="T42" s="74"/>
      <c r="U42" s="74"/>
      <c r="V42" s="74"/>
      <c r="W42" s="74"/>
      <c r="X42" s="74"/>
      <c r="Y42" s="75"/>
      <c r="Z42" s="61"/>
      <c r="AA42" s="61"/>
      <c r="AB42" s="61"/>
      <c r="AC42" s="61"/>
      <c r="AD42" s="61"/>
      <c r="AE42" s="61"/>
      <c r="AF42" s="58">
        <f>IF(AE41=AF41,1,0)</f>
        <v>0</v>
      </c>
      <c r="AG42" s="58"/>
      <c r="AU42" s="52"/>
      <c r="AV42" s="70"/>
    </row>
    <row r="43" spans="1:48" ht="27" customHeight="1" x14ac:dyDescent="0.15">
      <c r="B43" s="187">
        <f>IF(AG43&lt;1,15,"ﾅﾝﾊﾞｰｶｰﾄﾞが重複しています")</f>
        <v>15</v>
      </c>
      <c r="C43" s="189"/>
      <c r="D43" s="190"/>
      <c r="E43" s="56"/>
      <c r="F43" s="251"/>
      <c r="G43" s="135"/>
      <c r="H43" s="176"/>
      <c r="I43" s="165"/>
      <c r="J43" s="147" t="str">
        <f t="shared" ref="J43" si="49">IF(E43="","",IF(LEN(E43)-LEN(SUBSTITUTE(SUBSTITUTE(E43," ",),"　",))=1,"","氏名ｽﾍﾟｰｽ数"&amp;LEN(E43)-LEN(SUBSTITUTE(SUBSTITUTE(E43," ",),"　",))))</f>
        <v/>
      </c>
      <c r="R43" s="75"/>
      <c r="S43" s="75"/>
      <c r="T43" s="75"/>
      <c r="U43" s="75"/>
      <c r="V43" s="75"/>
      <c r="W43" s="75"/>
      <c r="X43" s="75"/>
      <c r="Y43" s="75"/>
      <c r="Z43" s="57" t="str">
        <f t="shared" ref="Z43" si="50">$B$4&amp;C43</f>
        <v>一般</v>
      </c>
      <c r="AA43" s="57" t="str">
        <f>IF(D43="","",C43&amp;D43)</f>
        <v/>
      </c>
      <c r="AB43" s="57">
        <f>IF(AA43="",1,AA43)</f>
        <v>1</v>
      </c>
      <c r="AC43" s="57">
        <f>IF(ISERROR(VLOOKUP(AB43,$AA$13:AA42,1,FALSE)),0,VLOOKUP(AB43,$AA$13:AA42,1,FALSE))</f>
        <v>0</v>
      </c>
      <c r="AD43" s="57" t="str">
        <f>IF(D43="","",C43&amp;D43&amp;E43)</f>
        <v/>
      </c>
      <c r="AE43" s="57">
        <f>IF(AD43="",1,AD43)</f>
        <v>1</v>
      </c>
      <c r="AF43" s="58">
        <f>IF(ISERROR(VLOOKUP(AE43,$AD$13:AD42,1,FALSE)),0,VLOOKUP(AE43,$AD$13:AD42,1,FALSE))</f>
        <v>0</v>
      </c>
      <c r="AG43" s="58">
        <f>IF(AB43=AC43,1,0)-AF44</f>
        <v>0</v>
      </c>
      <c r="AU43" s="46" t="str">
        <f>$B$4&amp;C45&amp;G45</f>
        <v>一般</v>
      </c>
      <c r="AV43" s="69" t="str">
        <f>$B$4&amp;C45&amp;H45</f>
        <v>一般</v>
      </c>
    </row>
    <row r="44" spans="1:48" ht="27" customHeight="1" x14ac:dyDescent="0.15">
      <c r="B44" s="188"/>
      <c r="C44" s="189"/>
      <c r="D44" s="190"/>
      <c r="E44" s="56"/>
      <c r="F44" s="234"/>
      <c r="G44" s="160"/>
      <c r="H44" s="175"/>
      <c r="I44" s="164"/>
      <c r="J44" s="148"/>
      <c r="R44" s="75"/>
      <c r="S44" s="75"/>
      <c r="T44" s="75"/>
      <c r="U44" s="75"/>
      <c r="V44" s="75"/>
      <c r="W44" s="75"/>
      <c r="X44" s="75"/>
      <c r="Y44" s="75"/>
      <c r="Z44" s="61"/>
      <c r="AA44" s="61"/>
      <c r="AB44" s="61"/>
      <c r="AC44" s="61"/>
      <c r="AD44" s="61"/>
      <c r="AE44" s="61"/>
      <c r="AF44" s="58">
        <f>IF(AE43=AF43,1,0)</f>
        <v>0</v>
      </c>
      <c r="AG44" s="58"/>
      <c r="AU44" s="52"/>
      <c r="AV44" s="70"/>
    </row>
    <row r="45" spans="1:48" ht="27" customHeight="1" x14ac:dyDescent="0.15">
      <c r="B45" s="187">
        <f>IF(AG45&lt;1,16,"ﾅﾝﾊﾞｰｶｰﾄﾞが重複しています")</f>
        <v>16</v>
      </c>
      <c r="C45" s="189"/>
      <c r="D45" s="190"/>
      <c r="E45" s="56"/>
      <c r="F45" s="251"/>
      <c r="G45" s="135"/>
      <c r="H45" s="176"/>
      <c r="I45" s="165"/>
      <c r="J45" s="147" t="str">
        <f t="shared" ref="J45" si="51">IF(E45="","",IF(LEN(E45)-LEN(SUBSTITUTE(SUBSTITUTE(E45," ",),"　",))=1,"","氏名ｽﾍﾟｰｽ数"&amp;LEN(E45)-LEN(SUBSTITUTE(SUBSTITUTE(E45," ",),"　",))))</f>
        <v/>
      </c>
      <c r="R45" s="74"/>
      <c r="S45" s="74"/>
      <c r="T45" s="74"/>
      <c r="U45" s="74"/>
      <c r="V45" s="74"/>
      <c r="W45" s="74"/>
      <c r="X45" s="74"/>
      <c r="Y45" s="75"/>
      <c r="Z45" s="57" t="str">
        <f t="shared" ref="Z45" si="52">$B$4&amp;C45</f>
        <v>一般</v>
      </c>
      <c r="AA45" s="57" t="str">
        <f>IF(D45="","",C45&amp;D45)</f>
        <v/>
      </c>
      <c r="AB45" s="57">
        <f>IF(AA45="",1,AA45)</f>
        <v>1</v>
      </c>
      <c r="AC45" s="57">
        <f>IF(ISERROR(VLOOKUP(AB45,$AA$13:AA44,1,FALSE)),0,VLOOKUP(AB45,$AA$13:AA44,1,FALSE))</f>
        <v>0</v>
      </c>
      <c r="AD45" s="57" t="str">
        <f>IF(D45="","",C45&amp;D45&amp;E45)</f>
        <v/>
      </c>
      <c r="AE45" s="57">
        <f>IF(AD45="",1,AD45)</f>
        <v>1</v>
      </c>
      <c r="AF45" s="58">
        <f>IF(ISERROR(VLOOKUP(AE45,$AD$13:AD44,1,FALSE)),0,VLOOKUP(AE45,$AD$13:AD44,1,FALSE))</f>
        <v>0</v>
      </c>
      <c r="AG45" s="58">
        <f>IF(AB45=AC45,1,0)-AF46</f>
        <v>0</v>
      </c>
      <c r="AU45" s="46" t="str">
        <f>$B$4&amp;C47&amp;G47</f>
        <v>一般</v>
      </c>
      <c r="AV45" s="69" t="str">
        <f>$B$4&amp;C47&amp;H47</f>
        <v>一般</v>
      </c>
    </row>
    <row r="46" spans="1:48" ht="27" customHeight="1" x14ac:dyDescent="0.15">
      <c r="B46" s="188"/>
      <c r="C46" s="189"/>
      <c r="D46" s="190"/>
      <c r="E46" s="56"/>
      <c r="F46" s="234"/>
      <c r="G46" s="160"/>
      <c r="H46" s="175"/>
      <c r="I46" s="164"/>
      <c r="J46" s="148"/>
      <c r="R46" s="75"/>
      <c r="S46" s="75"/>
      <c r="T46" s="75"/>
      <c r="U46" s="75"/>
      <c r="V46" s="75"/>
      <c r="W46" s="75"/>
      <c r="X46" s="75"/>
      <c r="Y46" s="75"/>
      <c r="Z46" s="61"/>
      <c r="AA46" s="61"/>
      <c r="AB46" s="61"/>
      <c r="AC46" s="61"/>
      <c r="AD46" s="61"/>
      <c r="AE46" s="61"/>
      <c r="AF46" s="58">
        <f>IF(AE45=AF45,1,0)</f>
        <v>0</v>
      </c>
      <c r="AG46" s="58"/>
      <c r="AU46" s="52"/>
      <c r="AV46" s="70"/>
    </row>
    <row r="47" spans="1:48" ht="27" customHeight="1" x14ac:dyDescent="0.15">
      <c r="B47" s="187">
        <f>IF(AG47&lt;1,17,"ﾅﾝﾊﾞｰｶｰﾄﾞが重複しています")</f>
        <v>17</v>
      </c>
      <c r="C47" s="189"/>
      <c r="D47" s="190"/>
      <c r="E47" s="56"/>
      <c r="F47" s="251"/>
      <c r="G47" s="135"/>
      <c r="H47" s="176"/>
      <c r="I47" s="165"/>
      <c r="J47" s="147" t="str">
        <f t="shared" ref="J47" si="53">IF(E47="","",IF(LEN(E47)-LEN(SUBSTITUTE(SUBSTITUTE(E47," ",),"　",))=1,"","氏名ｽﾍﾟｰｽ数"&amp;LEN(E47)-LEN(SUBSTITUTE(SUBSTITUTE(E47," ",),"　",))))</f>
        <v/>
      </c>
      <c r="R47" s="74"/>
      <c r="S47" s="74"/>
      <c r="T47" s="74"/>
      <c r="U47" s="74"/>
      <c r="V47" s="74"/>
      <c r="W47" s="74"/>
      <c r="X47" s="74"/>
      <c r="Y47" s="75"/>
      <c r="Z47" s="57" t="str">
        <f t="shared" ref="Z47" si="54">$B$4&amp;C47</f>
        <v>一般</v>
      </c>
      <c r="AA47" s="57" t="str">
        <f>IF(D47="","",C47&amp;D47)</f>
        <v/>
      </c>
      <c r="AB47" s="57">
        <f>IF(AA47="",1,AA47)</f>
        <v>1</v>
      </c>
      <c r="AC47" s="57">
        <f>IF(ISERROR(VLOOKUP(AB47,$AA$13:AA46,1,FALSE)),0,VLOOKUP(AB47,$AA$13:AA46,1,FALSE))</f>
        <v>0</v>
      </c>
      <c r="AD47" s="57" t="str">
        <f>IF(D47="","",C47&amp;D47&amp;E47)</f>
        <v/>
      </c>
      <c r="AE47" s="57">
        <f>IF(AD47="",1,AD47)</f>
        <v>1</v>
      </c>
      <c r="AF47" s="58">
        <f>IF(ISERROR(VLOOKUP(AE47,$AD$13:AD46,1,FALSE)),0,VLOOKUP(AE47,$AD$13:AD46,1,FALSE))</f>
        <v>0</v>
      </c>
      <c r="AG47" s="58">
        <f>IF(AB47=AC47,1,0)-AF48</f>
        <v>0</v>
      </c>
      <c r="AU47" s="46" t="str">
        <f>$B$4&amp;C49&amp;G49</f>
        <v>一般</v>
      </c>
      <c r="AV47" s="69" t="str">
        <f>$B$4&amp;C49&amp;H49</f>
        <v>一般</v>
      </c>
    </row>
    <row r="48" spans="1:48" ht="27" customHeight="1" x14ac:dyDescent="0.15">
      <c r="B48" s="188"/>
      <c r="C48" s="189"/>
      <c r="D48" s="190"/>
      <c r="E48" s="56"/>
      <c r="F48" s="234"/>
      <c r="G48" s="160"/>
      <c r="H48" s="175"/>
      <c r="I48" s="164"/>
      <c r="J48" s="148"/>
      <c r="K48" s="73"/>
      <c r="L48" s="74"/>
      <c r="M48" s="75"/>
      <c r="N48" s="74"/>
      <c r="O48" s="75"/>
      <c r="P48" s="75"/>
      <c r="Q48" s="75"/>
      <c r="R48" s="75"/>
      <c r="S48" s="75"/>
      <c r="T48" s="75"/>
      <c r="U48" s="75"/>
      <c r="V48" s="75"/>
      <c r="W48" s="75"/>
      <c r="X48" s="75"/>
      <c r="Y48" s="75"/>
      <c r="Z48" s="61"/>
      <c r="AA48" s="61"/>
      <c r="AB48" s="61"/>
      <c r="AC48" s="61"/>
      <c r="AD48" s="61"/>
      <c r="AE48" s="61"/>
      <c r="AF48" s="58">
        <f>IF(AE47=AF47,1,0)</f>
        <v>0</v>
      </c>
      <c r="AG48" s="58"/>
      <c r="AU48" s="52"/>
      <c r="AV48" s="70"/>
    </row>
    <row r="49" spans="1:48" ht="27" customHeight="1" x14ac:dyDescent="0.15">
      <c r="B49" s="187">
        <f>IF(AG49&lt;1,18,"ﾅﾝﾊﾞｰｶｰﾄﾞが重複しています")</f>
        <v>18</v>
      </c>
      <c r="C49" s="189"/>
      <c r="D49" s="190"/>
      <c r="E49" s="56"/>
      <c r="F49" s="251"/>
      <c r="G49" s="135"/>
      <c r="H49" s="176"/>
      <c r="I49" s="165"/>
      <c r="J49" s="147" t="str">
        <f t="shared" ref="J49" si="55">IF(E49="","",IF(LEN(E49)-LEN(SUBSTITUTE(SUBSTITUTE(E49," ",),"　",))=1,"","氏名ｽﾍﾟｰｽ数"&amp;LEN(E49)-LEN(SUBSTITUTE(SUBSTITUTE(E49," ",),"　",))))</f>
        <v/>
      </c>
      <c r="K49" s="73"/>
      <c r="L49" s="74"/>
      <c r="M49" s="75"/>
      <c r="N49" s="74"/>
      <c r="O49" s="75"/>
      <c r="P49" s="75"/>
      <c r="Q49" s="74"/>
      <c r="R49" s="74"/>
      <c r="S49" s="74"/>
      <c r="T49" s="74"/>
      <c r="U49" s="74"/>
      <c r="V49" s="74"/>
      <c r="W49" s="74"/>
      <c r="X49" s="74"/>
      <c r="Y49" s="75"/>
      <c r="Z49" s="57" t="str">
        <f t="shared" ref="Z49" si="56">$B$4&amp;C49</f>
        <v>一般</v>
      </c>
      <c r="AA49" s="57" t="str">
        <f>IF(D49="","",C49&amp;D49)</f>
        <v/>
      </c>
      <c r="AB49" s="57">
        <f>IF(AA49="",1,AA49)</f>
        <v>1</v>
      </c>
      <c r="AC49" s="57">
        <f>IF(ISERROR(VLOOKUP(AB49,$AA$13:AA48,1,FALSE)),0,VLOOKUP(AB49,$AA$13:AA48,1,FALSE))</f>
        <v>0</v>
      </c>
      <c r="AD49" s="57" t="str">
        <f>IF(D49="","",C49&amp;D49&amp;E49)</f>
        <v/>
      </c>
      <c r="AE49" s="57">
        <f>IF(AD49="",1,AD49)</f>
        <v>1</v>
      </c>
      <c r="AF49" s="58">
        <f>IF(ISERROR(VLOOKUP(AE49,$AD$13:AD48,1,FALSE)),0,VLOOKUP(AE49,$AD$13:AD48,1,FALSE))</f>
        <v>0</v>
      </c>
      <c r="AG49" s="58">
        <f>IF(AB49=AC49,1,0)-AF50</f>
        <v>0</v>
      </c>
      <c r="AU49" s="46" t="str">
        <f>$B$4&amp;C51&amp;G51</f>
        <v>一般</v>
      </c>
      <c r="AV49" s="69" t="str">
        <f>$B$4&amp;C51&amp;H51</f>
        <v>一般</v>
      </c>
    </row>
    <row r="50" spans="1:48" ht="27" customHeight="1" x14ac:dyDescent="0.15">
      <c r="B50" s="188"/>
      <c r="C50" s="189"/>
      <c r="D50" s="190"/>
      <c r="E50" s="56"/>
      <c r="F50" s="234"/>
      <c r="G50" s="160"/>
      <c r="H50" s="175"/>
      <c r="I50" s="164"/>
      <c r="J50" s="148"/>
      <c r="K50" s="73"/>
      <c r="L50" s="74"/>
      <c r="M50" s="75"/>
      <c r="N50" s="74"/>
      <c r="O50" s="75"/>
      <c r="P50" s="75"/>
      <c r="Q50" s="75"/>
      <c r="R50" s="74"/>
      <c r="S50" s="74"/>
      <c r="T50" s="74"/>
      <c r="U50" s="74"/>
      <c r="V50" s="74"/>
      <c r="W50" s="74"/>
      <c r="X50" s="74"/>
      <c r="Y50" s="75"/>
      <c r="Z50" s="61"/>
      <c r="AA50" s="61"/>
      <c r="AB50" s="61"/>
      <c r="AC50" s="61"/>
      <c r="AD50" s="61"/>
      <c r="AE50" s="61"/>
      <c r="AF50" s="58">
        <f>IF(AE49=AF49,1,0)</f>
        <v>0</v>
      </c>
      <c r="AG50" s="58"/>
      <c r="AU50" s="52"/>
      <c r="AV50" s="70"/>
    </row>
    <row r="51" spans="1:48" ht="27" customHeight="1" x14ac:dyDescent="0.15">
      <c r="B51" s="187">
        <f>IF(AG51&lt;1,19,"ﾅﾝﾊﾞｰｶｰﾄﾞが重複しています")</f>
        <v>19</v>
      </c>
      <c r="C51" s="189"/>
      <c r="D51" s="190"/>
      <c r="E51" s="56"/>
      <c r="F51" s="251"/>
      <c r="G51" s="135"/>
      <c r="H51" s="176"/>
      <c r="I51" s="165"/>
      <c r="J51" s="147" t="str">
        <f t="shared" ref="J51" si="57">IF(E51="","",IF(LEN(E51)-LEN(SUBSTITUTE(SUBSTITUTE(E51," ",),"　",))=1,"","氏名ｽﾍﾟｰｽ数"&amp;LEN(E51)-LEN(SUBSTITUTE(SUBSTITUTE(E51," ",),"　",))))</f>
        <v/>
      </c>
      <c r="K51" s="73"/>
      <c r="L51" s="74"/>
      <c r="M51" s="75"/>
      <c r="N51" s="74"/>
      <c r="O51" s="75"/>
      <c r="P51" s="75"/>
      <c r="Q51" s="75"/>
      <c r="R51" s="74"/>
      <c r="S51" s="74"/>
      <c r="T51" s="74"/>
      <c r="U51" s="74"/>
      <c r="V51" s="74"/>
      <c r="W51" s="74"/>
      <c r="X51" s="74"/>
      <c r="Y51" s="75"/>
      <c r="Z51" s="57" t="str">
        <f t="shared" ref="Z51" si="58">$B$4&amp;C51</f>
        <v>一般</v>
      </c>
      <c r="AA51" s="57" t="str">
        <f>IF(D51="","",C51&amp;D51)</f>
        <v/>
      </c>
      <c r="AB51" s="57">
        <f>IF(AA51="",1,AA51)</f>
        <v>1</v>
      </c>
      <c r="AC51" s="57">
        <f>IF(ISERROR(VLOOKUP(AB51,$AA$13:AA50,1,FALSE)),0,VLOOKUP(AB51,$AA$13:AA50,1,FALSE))</f>
        <v>0</v>
      </c>
      <c r="AD51" s="57" t="str">
        <f>IF(D51="","",C51&amp;D51&amp;E51)</f>
        <v/>
      </c>
      <c r="AE51" s="57">
        <f>IF(AD51="",1,AD51)</f>
        <v>1</v>
      </c>
      <c r="AF51" s="58">
        <f>IF(ISERROR(VLOOKUP(AE51,$AD$13:AD50,1,FALSE)),0,VLOOKUP(AE51,$AD$13:AD50,1,FALSE))</f>
        <v>0</v>
      </c>
      <c r="AG51" s="58">
        <f>IF(AB51=AC51,1,0)-AF52</f>
        <v>0</v>
      </c>
      <c r="AU51" s="46" t="str">
        <f>$B$4&amp;C53&amp;G53</f>
        <v>一般</v>
      </c>
      <c r="AV51" s="69" t="str">
        <f>$B$4&amp;C53&amp;H53</f>
        <v>一般</v>
      </c>
    </row>
    <row r="52" spans="1:48" ht="27" customHeight="1" x14ac:dyDescent="0.15">
      <c r="B52" s="188"/>
      <c r="C52" s="189"/>
      <c r="D52" s="190"/>
      <c r="E52" s="56"/>
      <c r="F52" s="234"/>
      <c r="G52" s="160"/>
      <c r="H52" s="175"/>
      <c r="I52" s="164"/>
      <c r="J52" s="148"/>
      <c r="K52" s="73"/>
      <c r="L52" s="74"/>
      <c r="M52" s="75"/>
      <c r="N52" s="74"/>
      <c r="O52" s="75"/>
      <c r="P52" s="75"/>
      <c r="Q52" s="75"/>
      <c r="R52" s="74"/>
      <c r="S52" s="74"/>
      <c r="T52" s="74"/>
      <c r="U52" s="74"/>
      <c r="V52" s="74"/>
      <c r="W52" s="74"/>
      <c r="X52" s="74"/>
      <c r="Y52" s="75"/>
      <c r="Z52" s="61"/>
      <c r="AA52" s="61"/>
      <c r="AB52" s="61"/>
      <c r="AC52" s="61"/>
      <c r="AD52" s="61"/>
      <c r="AE52" s="61"/>
      <c r="AF52" s="58">
        <f>IF(AE51=AF51,1,0)</f>
        <v>0</v>
      </c>
      <c r="AG52" s="58"/>
      <c r="AU52" s="52"/>
      <c r="AV52" s="70"/>
    </row>
    <row r="53" spans="1:48" ht="27" customHeight="1" thickBot="1" x14ac:dyDescent="0.2">
      <c r="B53" s="194">
        <f>IF(AG53&lt;1,20,"ﾅﾝﾊﾞｰｶｰﾄﾞが重複しています")</f>
        <v>20</v>
      </c>
      <c r="C53" s="189"/>
      <c r="D53" s="190"/>
      <c r="E53" s="56"/>
      <c r="F53" s="251"/>
      <c r="G53" s="135"/>
      <c r="H53" s="176"/>
      <c r="I53" s="165"/>
      <c r="J53" s="147" t="str">
        <f t="shared" ref="J53" si="59">IF(E53="","",IF(LEN(E53)-LEN(SUBSTITUTE(SUBSTITUTE(E53," ",),"　",))=1,"","氏名ｽﾍﾟｰｽ数"&amp;LEN(E53)-LEN(SUBSTITUTE(SUBSTITUTE(E53," ",),"　",))))</f>
        <v/>
      </c>
      <c r="K53" s="73"/>
      <c r="L53" s="74"/>
      <c r="M53" s="74"/>
      <c r="N53" s="74"/>
      <c r="O53" s="74"/>
      <c r="P53" s="74"/>
      <c r="Q53" s="75"/>
      <c r="R53" s="74"/>
      <c r="S53" s="74"/>
      <c r="T53" s="74"/>
      <c r="U53" s="74"/>
      <c r="V53" s="74"/>
      <c r="W53" s="74"/>
      <c r="X53" s="74"/>
      <c r="Y53" s="75"/>
      <c r="Z53" s="57" t="str">
        <f t="shared" ref="Z53" si="60">$B$4&amp;C53</f>
        <v>一般</v>
      </c>
      <c r="AA53" s="57" t="str">
        <f>IF(D53="","",C53&amp;D53)</f>
        <v/>
      </c>
      <c r="AB53" s="57">
        <f>IF(AA53="",1,AA53)</f>
        <v>1</v>
      </c>
      <c r="AC53" s="57">
        <f>IF(ISERROR(VLOOKUP(AB53,$AA$13:AA52,1,FALSE)),0,VLOOKUP(AB53,$AA$13:AA52,1,FALSE))</f>
        <v>0</v>
      </c>
      <c r="AD53" s="57" t="str">
        <f>IF(D53="","",C53&amp;D53&amp;E53)</f>
        <v/>
      </c>
      <c r="AE53" s="57">
        <f>IF(AD53="",1,AD53)</f>
        <v>1</v>
      </c>
      <c r="AF53" s="58">
        <f>IF(ISERROR(VLOOKUP(AE53,$AD$13:AD52,1,FALSE)),0,VLOOKUP(AE53,$AD$13:AD52,1,FALSE))</f>
        <v>0</v>
      </c>
      <c r="AG53" s="58">
        <f>IF(AB53=AC53,1,0)-AF54</f>
        <v>0</v>
      </c>
      <c r="AU53" s="46" t="str">
        <f>$B$4&amp;C55&amp;G55</f>
        <v>一般</v>
      </c>
      <c r="AV53" s="69" t="str">
        <f>$B$4&amp;C55&amp;H55</f>
        <v>一般</v>
      </c>
    </row>
    <row r="54" spans="1:48" ht="27" customHeight="1" thickBot="1" x14ac:dyDescent="0.2">
      <c r="B54" s="195"/>
      <c r="C54" s="196"/>
      <c r="D54" s="197"/>
      <c r="E54" s="71"/>
      <c r="F54" s="252"/>
      <c r="G54" s="161"/>
      <c r="H54" s="177"/>
      <c r="I54" s="166"/>
      <c r="J54" s="148"/>
      <c r="K54" s="73"/>
      <c r="L54" s="74"/>
      <c r="M54" s="74"/>
      <c r="N54" s="74"/>
      <c r="O54" s="74"/>
      <c r="P54" s="74"/>
      <c r="Q54" s="75"/>
      <c r="R54" s="74"/>
      <c r="S54" s="74"/>
      <c r="T54" s="74"/>
      <c r="U54" s="74"/>
      <c r="V54" s="74"/>
      <c r="W54" s="74"/>
      <c r="X54" s="74"/>
      <c r="Y54" s="75"/>
      <c r="Z54" s="61"/>
      <c r="AA54" s="61"/>
      <c r="AB54" s="61"/>
      <c r="AC54" s="61"/>
      <c r="AD54" s="61"/>
      <c r="AE54" s="61"/>
      <c r="AF54" s="58">
        <f>IF(AE53=AF53,1,0)</f>
        <v>0</v>
      </c>
      <c r="AG54" s="58"/>
      <c r="AU54" s="52"/>
      <c r="AV54" s="70"/>
    </row>
    <row r="55" spans="1:48" ht="27" customHeight="1" thickBot="1" x14ac:dyDescent="0.2">
      <c r="A55" s="24">
        <f>COUNTA(E55,E57,E59,E61,E63,E65,E67,E69,E71,E73)</f>
        <v>0</v>
      </c>
      <c r="B55" s="195">
        <f>IF(AG55&lt;1,21,"ﾅﾝﾊﾞｰｶｰﾄﾞが重複しています")</f>
        <v>21</v>
      </c>
      <c r="C55" s="192"/>
      <c r="D55" s="193"/>
      <c r="E55" s="72"/>
      <c r="F55" s="233"/>
      <c r="G55" s="140"/>
      <c r="H55" s="174"/>
      <c r="I55" s="163"/>
      <c r="J55" s="147" t="str">
        <f t="shared" ref="J55" si="61">IF(E55="","",IF(LEN(E55)-LEN(SUBSTITUTE(SUBSTITUTE(E55," ",),"　",))=1,"","氏名ｽﾍﾟｰｽ数"&amp;LEN(E55)-LEN(SUBSTITUTE(SUBSTITUTE(E55," ",),"　",))))</f>
        <v/>
      </c>
      <c r="K55" s="73"/>
      <c r="L55" s="74"/>
      <c r="M55" s="75"/>
      <c r="N55" s="74"/>
      <c r="O55" s="75"/>
      <c r="P55" s="75"/>
      <c r="Q55" s="75"/>
      <c r="R55" s="74"/>
      <c r="S55" s="74"/>
      <c r="T55" s="74"/>
      <c r="U55" s="74"/>
      <c r="V55" s="74"/>
      <c r="W55" s="74"/>
      <c r="X55" s="74"/>
      <c r="Y55" s="75"/>
      <c r="Z55" s="57" t="str">
        <f t="shared" ref="Z55" si="62">$B$4&amp;C55</f>
        <v>一般</v>
      </c>
      <c r="AA55" s="57" t="str">
        <f>IF(D55="","",C55&amp;D55)</f>
        <v/>
      </c>
      <c r="AB55" s="57">
        <f>IF(AA55="",1,AA55)</f>
        <v>1</v>
      </c>
      <c r="AC55" s="57">
        <f>IF(ISERROR(VLOOKUP(AB55,$AA$13:AA54,1,FALSE)),0,VLOOKUP(AB55,$AA$13:AA54,1,FALSE))</f>
        <v>0</v>
      </c>
      <c r="AD55" s="57" t="str">
        <f>IF(D55="","",C55&amp;D55&amp;E55)</f>
        <v/>
      </c>
      <c r="AE55" s="57">
        <f>IF(AD55="",1,AD55)</f>
        <v>1</v>
      </c>
      <c r="AF55" s="58">
        <f>IF(ISERROR(VLOOKUP(AE55,$AD$13:AD54,1,FALSE)),0,VLOOKUP(AE55,$AD$13:AD54,1,FALSE))</f>
        <v>0</v>
      </c>
      <c r="AG55" s="58">
        <f>IF(AB55=AC55,1,0)-AF56</f>
        <v>0</v>
      </c>
      <c r="AU55" s="46" t="str">
        <f>$B$4&amp;C57&amp;G57</f>
        <v>一般</v>
      </c>
      <c r="AV55" s="69" t="str">
        <f>$B$4&amp;C57&amp;H57</f>
        <v>一般</v>
      </c>
    </row>
    <row r="56" spans="1:48" ht="27" customHeight="1" x14ac:dyDescent="0.15">
      <c r="A56" s="59">
        <f>COUNTA(G55:I55,G57:I57,G59:I59,G61:I61,G63:I63,G65:I65,G67:I67,G69:I69,G71:I71,G73:I73)</f>
        <v>0</v>
      </c>
      <c r="B56" s="198"/>
      <c r="C56" s="189"/>
      <c r="D56" s="190"/>
      <c r="E56" s="56"/>
      <c r="F56" s="234"/>
      <c r="G56" s="160"/>
      <c r="H56" s="175"/>
      <c r="I56" s="164"/>
      <c r="J56" s="148"/>
      <c r="K56" s="73"/>
      <c r="L56" s="74"/>
      <c r="M56" s="75"/>
      <c r="N56" s="74"/>
      <c r="O56" s="75"/>
      <c r="P56" s="75"/>
      <c r="Q56" s="75"/>
      <c r="R56" s="74"/>
      <c r="S56" s="74"/>
      <c r="T56" s="74"/>
      <c r="U56" s="74"/>
      <c r="V56" s="74"/>
      <c r="W56" s="74"/>
      <c r="X56" s="74"/>
      <c r="Y56" s="75"/>
      <c r="Z56" s="61"/>
      <c r="AA56" s="61"/>
      <c r="AB56" s="61"/>
      <c r="AC56" s="61"/>
      <c r="AD56" s="61"/>
      <c r="AE56" s="61"/>
      <c r="AF56" s="58">
        <f>IF(AE55=AF55,1,0)</f>
        <v>0</v>
      </c>
      <c r="AG56" s="58"/>
      <c r="AU56" s="52"/>
      <c r="AV56" s="70"/>
    </row>
    <row r="57" spans="1:48" ht="27" customHeight="1" x14ac:dyDescent="0.15">
      <c r="B57" s="187">
        <f>IF(AG57&lt;1,22,"ﾅﾝﾊﾞｰｶｰﾄﾞが重複しています")</f>
        <v>22</v>
      </c>
      <c r="C57" s="189"/>
      <c r="D57" s="190"/>
      <c r="E57" s="56"/>
      <c r="F57" s="251"/>
      <c r="G57" s="135"/>
      <c r="H57" s="176"/>
      <c r="I57" s="165"/>
      <c r="J57" s="147" t="str">
        <f t="shared" ref="J57" si="63">IF(E57="","",IF(LEN(E57)-LEN(SUBSTITUTE(SUBSTITUTE(E57," ",),"　",))=1,"","氏名ｽﾍﾟｰｽ数"&amp;LEN(E57)-LEN(SUBSTITUTE(SUBSTITUTE(E57," ",),"　",))))</f>
        <v/>
      </c>
      <c r="K57" s="73"/>
      <c r="L57" s="75"/>
      <c r="M57" s="75"/>
      <c r="N57" s="75"/>
      <c r="O57" s="75"/>
      <c r="P57" s="75"/>
      <c r="Q57" s="74"/>
      <c r="R57" s="75"/>
      <c r="S57" s="75"/>
      <c r="T57" s="75"/>
      <c r="U57" s="75"/>
      <c r="V57" s="75"/>
      <c r="W57" s="75"/>
      <c r="X57" s="75"/>
      <c r="Y57" s="74"/>
      <c r="Z57" s="57" t="str">
        <f t="shared" ref="Z57" si="64">$B$4&amp;C57</f>
        <v>一般</v>
      </c>
      <c r="AA57" s="57" t="str">
        <f>IF(D57="","",C57&amp;D57)</f>
        <v/>
      </c>
      <c r="AB57" s="57">
        <f>IF(AA57="",1,AA57)</f>
        <v>1</v>
      </c>
      <c r="AC57" s="57">
        <f>IF(ISERROR(VLOOKUP(AB57,$AA$13:AA56,1,FALSE)),0,VLOOKUP(AB57,$AA$13:AA56,1,FALSE))</f>
        <v>0</v>
      </c>
      <c r="AD57" s="57" t="str">
        <f>IF(D57="","",C57&amp;D57&amp;E57)</f>
        <v/>
      </c>
      <c r="AE57" s="57">
        <f>IF(AD57="",1,AD57)</f>
        <v>1</v>
      </c>
      <c r="AF57" s="58">
        <f>IF(ISERROR(VLOOKUP(AE57,$AD$13:AD56,1,FALSE)),0,VLOOKUP(AE57,$AD$13:AD56,1,FALSE))</f>
        <v>0</v>
      </c>
      <c r="AG57" s="58">
        <f>IF(AB57=AC57,1,0)-AF58</f>
        <v>0</v>
      </c>
      <c r="AU57" s="46" t="str">
        <f>$B$4&amp;C59&amp;G59</f>
        <v>一般</v>
      </c>
      <c r="AV57" s="69" t="str">
        <f>$B$4&amp;C59&amp;H59</f>
        <v>一般</v>
      </c>
    </row>
    <row r="58" spans="1:48" ht="27" customHeight="1" x14ac:dyDescent="0.15">
      <c r="B58" s="188"/>
      <c r="C58" s="189"/>
      <c r="D58" s="190"/>
      <c r="E58" s="56"/>
      <c r="F58" s="234"/>
      <c r="G58" s="160"/>
      <c r="H58" s="175"/>
      <c r="I58" s="164"/>
      <c r="J58" s="148"/>
      <c r="K58" s="73"/>
      <c r="L58" s="74"/>
      <c r="M58" s="75"/>
      <c r="N58" s="74"/>
      <c r="O58" s="75"/>
      <c r="P58" s="75"/>
      <c r="Q58" s="75"/>
      <c r="R58" s="74"/>
      <c r="S58" s="74"/>
      <c r="T58" s="74"/>
      <c r="U58" s="74"/>
      <c r="V58" s="74"/>
      <c r="W58" s="74"/>
      <c r="X58" s="74"/>
      <c r="Y58" s="75"/>
      <c r="Z58" s="61"/>
      <c r="AA58" s="61"/>
      <c r="AB58" s="61"/>
      <c r="AC58" s="61"/>
      <c r="AD58" s="61"/>
      <c r="AE58" s="61"/>
      <c r="AF58" s="58">
        <f>IF(AE57=AF57,1,0)</f>
        <v>0</v>
      </c>
      <c r="AG58" s="58"/>
      <c r="AU58" s="52"/>
      <c r="AV58" s="70"/>
    </row>
    <row r="59" spans="1:48" ht="27" customHeight="1" x14ac:dyDescent="0.15">
      <c r="B59" s="187">
        <f>IF(AG59&lt;1,23,"ﾅﾝﾊﾞｰｶｰﾄﾞが重複しています")</f>
        <v>23</v>
      </c>
      <c r="C59" s="189"/>
      <c r="D59" s="190"/>
      <c r="E59" s="56"/>
      <c r="F59" s="251"/>
      <c r="G59" s="135"/>
      <c r="H59" s="176"/>
      <c r="I59" s="165"/>
      <c r="J59" s="147" t="str">
        <f t="shared" ref="J59" si="65">IF(E59="","",IF(LEN(E59)-LEN(SUBSTITUTE(SUBSTITUTE(E59," ",),"　",))=1,"","氏名ｽﾍﾟｰｽ数"&amp;LEN(E59)-LEN(SUBSTITUTE(SUBSTITUTE(E59," ",),"　",))))</f>
        <v/>
      </c>
      <c r="K59" s="73"/>
      <c r="L59" s="75"/>
      <c r="M59" s="75"/>
      <c r="N59" s="75"/>
      <c r="O59" s="75"/>
      <c r="P59" s="75"/>
      <c r="Q59" s="75"/>
      <c r="R59" s="74"/>
      <c r="S59" s="74"/>
      <c r="T59" s="74"/>
      <c r="U59" s="74"/>
      <c r="V59" s="74"/>
      <c r="W59" s="74"/>
      <c r="X59" s="74"/>
      <c r="Y59" s="75"/>
      <c r="Z59" s="57" t="str">
        <f t="shared" ref="Z59" si="66">$B$4&amp;C59</f>
        <v>一般</v>
      </c>
      <c r="AA59" s="57" t="str">
        <f>IF(D59="","",C59&amp;D59)</f>
        <v/>
      </c>
      <c r="AB59" s="57">
        <f>IF(AA59="",1,AA59)</f>
        <v>1</v>
      </c>
      <c r="AC59" s="57">
        <f>IF(ISERROR(VLOOKUP(AB59,$AA$13:AA58,1,FALSE)),0,VLOOKUP(AB59,$AA$13:AA58,1,FALSE))</f>
        <v>0</v>
      </c>
      <c r="AD59" s="57" t="str">
        <f>IF(D59="","",C59&amp;D59&amp;E59)</f>
        <v/>
      </c>
      <c r="AE59" s="57">
        <f>IF(AD59="",1,AD59)</f>
        <v>1</v>
      </c>
      <c r="AF59" s="58">
        <f>IF(ISERROR(VLOOKUP(AE59,$AD$13:AD58,1,FALSE)),0,VLOOKUP(AE59,$AD$13:AD58,1,FALSE))</f>
        <v>0</v>
      </c>
      <c r="AG59" s="58">
        <f>IF(AB59=AC59,1,0)-AF60</f>
        <v>0</v>
      </c>
      <c r="AU59" s="46" t="str">
        <f>$B$4&amp;C61&amp;G61</f>
        <v>一般</v>
      </c>
      <c r="AV59" s="69" t="str">
        <f>$B$4&amp;C61&amp;H61</f>
        <v>一般</v>
      </c>
    </row>
    <row r="60" spans="1:48" ht="27" customHeight="1" x14ac:dyDescent="0.15">
      <c r="B60" s="188"/>
      <c r="C60" s="189"/>
      <c r="D60" s="190"/>
      <c r="E60" s="56"/>
      <c r="F60" s="234"/>
      <c r="G60" s="160"/>
      <c r="H60" s="175"/>
      <c r="I60" s="164"/>
      <c r="J60" s="148"/>
      <c r="K60" s="73"/>
      <c r="L60" s="74"/>
      <c r="M60" s="75"/>
      <c r="N60" s="74"/>
      <c r="O60" s="75"/>
      <c r="P60" s="75"/>
      <c r="Q60" s="75"/>
      <c r="R60" s="75"/>
      <c r="S60" s="75"/>
      <c r="T60" s="75"/>
      <c r="U60" s="75"/>
      <c r="V60" s="75"/>
      <c r="W60" s="75"/>
      <c r="X60" s="75"/>
      <c r="Y60" s="75"/>
      <c r="Z60" s="61"/>
      <c r="AA60" s="61"/>
      <c r="AB60" s="61"/>
      <c r="AC60" s="61"/>
      <c r="AD60" s="61"/>
      <c r="AE60" s="61"/>
      <c r="AF60" s="58">
        <f>IF(AE59=AF59,1,0)</f>
        <v>0</v>
      </c>
      <c r="AG60" s="58"/>
      <c r="AU60" s="52"/>
      <c r="AV60" s="70"/>
    </row>
    <row r="61" spans="1:48" ht="27" customHeight="1" x14ac:dyDescent="0.15">
      <c r="B61" s="187">
        <f>IF(AG61&lt;1,24,"ﾅﾝﾊﾞｰｶｰﾄﾞが重複しています")</f>
        <v>24</v>
      </c>
      <c r="C61" s="189"/>
      <c r="D61" s="190"/>
      <c r="E61" s="56"/>
      <c r="F61" s="251"/>
      <c r="G61" s="135"/>
      <c r="H61" s="176"/>
      <c r="I61" s="165"/>
      <c r="J61" s="147" t="str">
        <f t="shared" ref="J61" si="67">IF(E61="","",IF(LEN(E61)-LEN(SUBSTITUTE(SUBSTITUTE(E61," ",),"　",))=1,"","氏名ｽﾍﾟｰｽ数"&amp;LEN(E61)-LEN(SUBSTITUTE(SUBSTITUTE(E61," ",),"　",))))</f>
        <v/>
      </c>
      <c r="K61" s="73"/>
      <c r="L61" s="75"/>
      <c r="M61" s="75"/>
      <c r="N61" s="75"/>
      <c r="O61" s="75"/>
      <c r="P61" s="75"/>
      <c r="Q61" s="75"/>
      <c r="R61" s="74"/>
      <c r="S61" s="74"/>
      <c r="T61" s="74"/>
      <c r="U61" s="74"/>
      <c r="V61" s="74"/>
      <c r="W61" s="74"/>
      <c r="X61" s="74"/>
      <c r="Y61" s="75"/>
      <c r="Z61" s="57" t="str">
        <f t="shared" ref="Z61" si="68">$B$4&amp;C61</f>
        <v>一般</v>
      </c>
      <c r="AA61" s="57" t="str">
        <f>IF(D61="","",C61&amp;D61)</f>
        <v/>
      </c>
      <c r="AB61" s="57">
        <f>IF(AA61="",1,AA61)</f>
        <v>1</v>
      </c>
      <c r="AC61" s="57">
        <f>IF(ISERROR(VLOOKUP(AB61,$AA$13:AA60,1,FALSE)),0,VLOOKUP(AB61,$AA$13:AA60,1,FALSE))</f>
        <v>0</v>
      </c>
      <c r="AD61" s="57" t="str">
        <f>IF(D61="","",C61&amp;D61&amp;E61)</f>
        <v/>
      </c>
      <c r="AE61" s="57">
        <f>IF(AD61="",1,AD61)</f>
        <v>1</v>
      </c>
      <c r="AF61" s="58">
        <f>IF(ISERROR(VLOOKUP(AE61,$AD$13:AD60,1,FALSE)),0,VLOOKUP(AE61,$AD$13:AD60,1,FALSE))</f>
        <v>0</v>
      </c>
      <c r="AG61" s="58">
        <f>IF(AB61=AC61,1,0)-AF62</f>
        <v>0</v>
      </c>
      <c r="AU61" s="46" t="str">
        <f>$B$4&amp;C63&amp;G63</f>
        <v>一般</v>
      </c>
      <c r="AV61" s="69" t="str">
        <f>$B$4&amp;C63&amp;H63</f>
        <v>一般</v>
      </c>
    </row>
    <row r="62" spans="1:48" ht="27" customHeight="1" x14ac:dyDescent="0.15">
      <c r="B62" s="188"/>
      <c r="C62" s="189"/>
      <c r="D62" s="190"/>
      <c r="E62" s="56"/>
      <c r="F62" s="234"/>
      <c r="G62" s="160"/>
      <c r="H62" s="175"/>
      <c r="I62" s="164"/>
      <c r="J62" s="148"/>
      <c r="K62" s="73"/>
      <c r="L62" s="75"/>
      <c r="M62" s="75"/>
      <c r="N62" s="75"/>
      <c r="O62" s="75"/>
      <c r="P62" s="75"/>
      <c r="Q62" s="75"/>
      <c r="R62" s="74"/>
      <c r="S62" s="74"/>
      <c r="T62" s="74"/>
      <c r="U62" s="74"/>
      <c r="V62" s="74"/>
      <c r="W62" s="74"/>
      <c r="X62" s="74"/>
      <c r="Y62" s="75"/>
      <c r="Z62" s="61"/>
      <c r="AA62" s="61"/>
      <c r="AB62" s="61"/>
      <c r="AC62" s="61"/>
      <c r="AD62" s="61"/>
      <c r="AE62" s="61"/>
      <c r="AF62" s="58">
        <f>IF(AE61=AF61,1,0)</f>
        <v>0</v>
      </c>
      <c r="AG62" s="58"/>
      <c r="AU62" s="52"/>
      <c r="AV62" s="70"/>
    </row>
    <row r="63" spans="1:48" ht="27" customHeight="1" x14ac:dyDescent="0.15">
      <c r="B63" s="187">
        <f>IF(AG63&lt;1,25,"ﾅﾝﾊﾞｰｶｰﾄﾞが重複しています")</f>
        <v>25</v>
      </c>
      <c r="C63" s="189"/>
      <c r="D63" s="190"/>
      <c r="E63" s="56"/>
      <c r="F63" s="251"/>
      <c r="G63" s="135"/>
      <c r="H63" s="176"/>
      <c r="I63" s="165"/>
      <c r="J63" s="147" t="str">
        <f t="shared" ref="J63" si="69">IF(E63="","",IF(LEN(E63)-LEN(SUBSTITUTE(SUBSTITUTE(E63," ",),"　",))=1,"","氏名ｽﾍﾟｰｽ数"&amp;LEN(E63)-LEN(SUBSTITUTE(SUBSTITUTE(E63," ",),"　",))))</f>
        <v/>
      </c>
      <c r="K63" s="73"/>
      <c r="L63" s="74"/>
      <c r="M63" s="75"/>
      <c r="N63" s="74"/>
      <c r="O63" s="75"/>
      <c r="P63" s="75"/>
      <c r="Q63" s="75"/>
      <c r="R63" s="75"/>
      <c r="S63" s="75"/>
      <c r="T63" s="75"/>
      <c r="U63" s="75"/>
      <c r="V63" s="75"/>
      <c r="W63" s="75"/>
      <c r="X63" s="75"/>
      <c r="Y63" s="75"/>
      <c r="Z63" s="57" t="str">
        <f t="shared" ref="Z63" si="70">$B$4&amp;C63</f>
        <v>一般</v>
      </c>
      <c r="AA63" s="57" t="str">
        <f>IF(D63="","",C63&amp;D63)</f>
        <v/>
      </c>
      <c r="AB63" s="57">
        <f>IF(AA63="",1,AA63)</f>
        <v>1</v>
      </c>
      <c r="AC63" s="57">
        <f>IF(ISERROR(VLOOKUP(AB63,$AA$13:AA62,1,FALSE)),0,VLOOKUP(AB63,$AA$13:AA62,1,FALSE))</f>
        <v>0</v>
      </c>
      <c r="AD63" s="57" t="str">
        <f>IF(D63="","",C63&amp;D63&amp;E63)</f>
        <v/>
      </c>
      <c r="AE63" s="57">
        <f>IF(AD63="",1,AD63)</f>
        <v>1</v>
      </c>
      <c r="AF63" s="58">
        <f>IF(ISERROR(VLOOKUP(AE63,$AD$13:AD62,1,FALSE)),0,VLOOKUP(AE63,$AD$13:AD62,1,FALSE))</f>
        <v>0</v>
      </c>
      <c r="AG63" s="58">
        <f>IF(AB63=AC63,1,0)-AF64</f>
        <v>0</v>
      </c>
      <c r="AU63" s="46" t="str">
        <f>$B$4&amp;C65&amp;G65</f>
        <v>一般</v>
      </c>
      <c r="AV63" s="69" t="str">
        <f>$B$4&amp;C65&amp;H65</f>
        <v>一般</v>
      </c>
    </row>
    <row r="64" spans="1:48" ht="27" customHeight="1" x14ac:dyDescent="0.15">
      <c r="B64" s="188"/>
      <c r="C64" s="189"/>
      <c r="D64" s="190"/>
      <c r="E64" s="56"/>
      <c r="F64" s="234"/>
      <c r="G64" s="160"/>
      <c r="H64" s="175"/>
      <c r="I64" s="164"/>
      <c r="J64" s="148"/>
      <c r="K64" s="73"/>
      <c r="L64" s="74"/>
      <c r="M64" s="75"/>
      <c r="N64" s="74"/>
      <c r="O64" s="75"/>
      <c r="P64" s="75"/>
      <c r="Q64" s="75"/>
      <c r="R64" s="75"/>
      <c r="S64" s="75"/>
      <c r="T64" s="75"/>
      <c r="U64" s="75"/>
      <c r="V64" s="75"/>
      <c r="W64" s="75"/>
      <c r="X64" s="75"/>
      <c r="Y64" s="75"/>
      <c r="Z64" s="61"/>
      <c r="AA64" s="61"/>
      <c r="AB64" s="61"/>
      <c r="AC64" s="61"/>
      <c r="AD64" s="61"/>
      <c r="AE64" s="61"/>
      <c r="AF64" s="58">
        <f>IF(AE63=AF63,1,0)</f>
        <v>0</v>
      </c>
      <c r="AG64" s="58"/>
      <c r="AU64" s="52"/>
      <c r="AV64" s="70"/>
    </row>
    <row r="65" spans="1:48" ht="27" customHeight="1" x14ac:dyDescent="0.15">
      <c r="B65" s="187">
        <f>IF(AG65&lt;1,26,"ﾅﾝﾊﾞｰｶｰﾄﾞが重複しています")</f>
        <v>26</v>
      </c>
      <c r="C65" s="189"/>
      <c r="D65" s="190"/>
      <c r="E65" s="56"/>
      <c r="F65" s="251"/>
      <c r="G65" s="135"/>
      <c r="H65" s="176"/>
      <c r="I65" s="165"/>
      <c r="J65" s="147" t="str">
        <f t="shared" ref="J65" si="71">IF(E65="","",IF(LEN(E65)-LEN(SUBSTITUTE(SUBSTITUTE(E65," ",),"　",))=1,"","氏名ｽﾍﾟｰｽ数"&amp;LEN(E65)-LEN(SUBSTITUTE(SUBSTITUTE(E65," ",),"　",))))</f>
        <v/>
      </c>
      <c r="K65" s="76"/>
      <c r="L65" s="74"/>
      <c r="M65" s="75"/>
      <c r="N65" s="74"/>
      <c r="O65" s="75"/>
      <c r="P65" s="75"/>
      <c r="Q65" s="75"/>
      <c r="R65" s="74"/>
      <c r="S65" s="74"/>
      <c r="T65" s="74"/>
      <c r="U65" s="74"/>
      <c r="V65" s="74"/>
      <c r="W65" s="74"/>
      <c r="X65" s="74"/>
      <c r="Y65" s="75"/>
      <c r="Z65" s="57" t="str">
        <f t="shared" ref="Z65" si="72">$B$4&amp;C65</f>
        <v>一般</v>
      </c>
      <c r="AA65" s="57" t="str">
        <f>IF(D65="","",C65&amp;D65)</f>
        <v/>
      </c>
      <c r="AB65" s="57">
        <f>IF(AA65="",1,AA65)</f>
        <v>1</v>
      </c>
      <c r="AC65" s="57">
        <f>IF(ISERROR(VLOOKUP(AB65,$AA$13:AA64,1,FALSE)),0,VLOOKUP(AB65,$AA$13:AA64,1,FALSE))</f>
        <v>0</v>
      </c>
      <c r="AD65" s="57" t="str">
        <f>IF(D65="","",C65&amp;D65&amp;E65)</f>
        <v/>
      </c>
      <c r="AE65" s="57">
        <f>IF(AD65="",1,AD65)</f>
        <v>1</v>
      </c>
      <c r="AF65" s="58">
        <f>IF(ISERROR(VLOOKUP(AE65,$AD$13:AD64,1,FALSE)),0,VLOOKUP(AE65,$AD$13:AD64,1,FALSE))</f>
        <v>0</v>
      </c>
      <c r="AG65" s="58">
        <f>IF(AB65=AC65,1,0)-AF66</f>
        <v>0</v>
      </c>
      <c r="AU65" s="46" t="str">
        <f>$B$4&amp;C67&amp;G67</f>
        <v>一般</v>
      </c>
      <c r="AV65" s="69" t="str">
        <f>$B$4&amp;C67&amp;H67</f>
        <v>一般</v>
      </c>
    </row>
    <row r="66" spans="1:48" ht="27" customHeight="1" x14ac:dyDescent="0.15">
      <c r="B66" s="188"/>
      <c r="C66" s="189"/>
      <c r="D66" s="190"/>
      <c r="E66" s="56"/>
      <c r="F66" s="234"/>
      <c r="G66" s="160"/>
      <c r="H66" s="175"/>
      <c r="I66" s="164"/>
      <c r="J66" s="148"/>
      <c r="K66" s="73"/>
      <c r="L66" s="74"/>
      <c r="M66" s="75"/>
      <c r="N66" s="74"/>
      <c r="O66" s="75"/>
      <c r="P66" s="75"/>
      <c r="Q66" s="75"/>
      <c r="R66" s="75"/>
      <c r="S66" s="75"/>
      <c r="T66" s="75"/>
      <c r="U66" s="75"/>
      <c r="V66" s="75"/>
      <c r="W66" s="75"/>
      <c r="X66" s="75"/>
      <c r="Y66" s="75"/>
      <c r="Z66" s="61"/>
      <c r="AA66" s="61"/>
      <c r="AB66" s="61"/>
      <c r="AC66" s="61"/>
      <c r="AD66" s="61"/>
      <c r="AE66" s="61"/>
      <c r="AF66" s="58">
        <f>IF(AE65=AF65,1,0)</f>
        <v>0</v>
      </c>
      <c r="AG66" s="58"/>
      <c r="AU66" s="52"/>
      <c r="AV66" s="70"/>
    </row>
    <row r="67" spans="1:48" ht="27" customHeight="1" x14ac:dyDescent="0.15">
      <c r="B67" s="187">
        <f>IF(AG67&lt;1,27,"ﾅﾝﾊﾞｰｶｰﾄﾞが重複しています")</f>
        <v>27</v>
      </c>
      <c r="C67" s="189"/>
      <c r="D67" s="190"/>
      <c r="E67" s="56"/>
      <c r="F67" s="251"/>
      <c r="G67" s="135"/>
      <c r="H67" s="176"/>
      <c r="I67" s="165"/>
      <c r="J67" s="147" t="str">
        <f t="shared" ref="J67" si="73">IF(E67="","",IF(LEN(E67)-LEN(SUBSTITUTE(SUBSTITUTE(E67," ",),"　",))=1,"","氏名ｽﾍﾟｰｽ数"&amp;LEN(E67)-LEN(SUBSTITUTE(SUBSTITUTE(E67," ",),"　",))))</f>
        <v/>
      </c>
      <c r="K67" s="73"/>
      <c r="L67" s="75"/>
      <c r="M67" s="75"/>
      <c r="N67" s="75"/>
      <c r="O67" s="75"/>
      <c r="P67" s="75"/>
      <c r="Q67" s="75"/>
      <c r="R67" s="74"/>
      <c r="S67" s="74"/>
      <c r="T67" s="74"/>
      <c r="U67" s="74"/>
      <c r="V67" s="74"/>
      <c r="W67" s="74"/>
      <c r="X67" s="74"/>
      <c r="Y67" s="75"/>
      <c r="Z67" s="57" t="str">
        <f t="shared" ref="Z67" si="74">$B$4&amp;C67</f>
        <v>一般</v>
      </c>
      <c r="AA67" s="57" t="str">
        <f>IF(D67="","",C67&amp;D67)</f>
        <v/>
      </c>
      <c r="AB67" s="57">
        <f>IF(AA67="",1,AA67)</f>
        <v>1</v>
      </c>
      <c r="AC67" s="57">
        <f>IF(ISERROR(VLOOKUP(AB67,$AA$13:AA66,1,FALSE)),0,VLOOKUP(AB67,$AA$13:AA66,1,FALSE))</f>
        <v>0</v>
      </c>
      <c r="AD67" s="57" t="str">
        <f>IF(D67="","",C67&amp;D67&amp;E67)</f>
        <v/>
      </c>
      <c r="AE67" s="57">
        <f>IF(AD67="",1,AD67)</f>
        <v>1</v>
      </c>
      <c r="AF67" s="58">
        <f>IF(ISERROR(VLOOKUP(AE67,$AD$13:AD66,1,FALSE)),0,VLOOKUP(AE67,$AD$13:AD66,1,FALSE))</f>
        <v>0</v>
      </c>
      <c r="AG67" s="58">
        <f>IF(AB67=AC67,1,0)-AF68</f>
        <v>0</v>
      </c>
      <c r="AU67" s="46" t="str">
        <f>$B$4&amp;C69&amp;G69</f>
        <v>一般</v>
      </c>
      <c r="AV67" s="69" t="str">
        <f>$B$4&amp;C69&amp;H69</f>
        <v>一般</v>
      </c>
    </row>
    <row r="68" spans="1:48" ht="27" customHeight="1" x14ac:dyDescent="0.15">
      <c r="B68" s="188"/>
      <c r="C68" s="189"/>
      <c r="D68" s="190"/>
      <c r="E68" s="56"/>
      <c r="F68" s="234"/>
      <c r="G68" s="160"/>
      <c r="H68" s="175"/>
      <c r="I68" s="164"/>
      <c r="J68" s="148"/>
      <c r="K68" s="73"/>
      <c r="L68" s="74"/>
      <c r="M68" s="75"/>
      <c r="N68" s="74"/>
      <c r="O68" s="75"/>
      <c r="P68" s="75"/>
      <c r="Q68" s="75"/>
      <c r="R68" s="75"/>
      <c r="S68" s="75"/>
      <c r="T68" s="75"/>
      <c r="U68" s="75"/>
      <c r="V68" s="75"/>
      <c r="W68" s="75"/>
      <c r="X68" s="75"/>
      <c r="Y68" s="75"/>
      <c r="Z68" s="61"/>
      <c r="AA68" s="61"/>
      <c r="AB68" s="61"/>
      <c r="AC68" s="61"/>
      <c r="AD68" s="61"/>
      <c r="AE68" s="61"/>
      <c r="AF68" s="58">
        <f>IF(AE67=AF67,1,0)</f>
        <v>0</v>
      </c>
      <c r="AG68" s="58"/>
      <c r="AU68" s="52"/>
      <c r="AV68" s="70"/>
    </row>
    <row r="69" spans="1:48" ht="27" customHeight="1" x14ac:dyDescent="0.15">
      <c r="B69" s="187">
        <f>IF(AG69&lt;1,28,"ﾅﾝﾊﾞｰｶｰﾄﾞが重複しています")</f>
        <v>28</v>
      </c>
      <c r="C69" s="189"/>
      <c r="D69" s="190"/>
      <c r="E69" s="56"/>
      <c r="F69" s="251"/>
      <c r="G69" s="135"/>
      <c r="H69" s="176"/>
      <c r="I69" s="165"/>
      <c r="J69" s="147" t="str">
        <f t="shared" ref="J69" si="75">IF(E69="","",IF(LEN(E69)-LEN(SUBSTITUTE(SUBSTITUTE(E69," ",),"　",))=1,"","氏名ｽﾍﾟｰｽ数"&amp;LEN(E69)-LEN(SUBSTITUTE(SUBSTITUTE(E69," ",),"　",))))</f>
        <v/>
      </c>
      <c r="K69" s="73"/>
      <c r="L69" s="74"/>
      <c r="M69" s="75"/>
      <c r="N69" s="74"/>
      <c r="O69" s="75"/>
      <c r="P69" s="75"/>
      <c r="Q69" s="74"/>
      <c r="R69" s="74"/>
      <c r="S69" s="74"/>
      <c r="T69" s="74"/>
      <c r="U69" s="74"/>
      <c r="V69" s="74"/>
      <c r="W69" s="74"/>
      <c r="X69" s="74"/>
      <c r="Y69" s="75"/>
      <c r="Z69" s="57" t="str">
        <f t="shared" ref="Z69" si="76">$B$4&amp;C69</f>
        <v>一般</v>
      </c>
      <c r="AA69" s="57" t="str">
        <f>IF(D69="","",C69&amp;D69)</f>
        <v/>
      </c>
      <c r="AB69" s="57">
        <f>IF(AA69="",1,AA69)</f>
        <v>1</v>
      </c>
      <c r="AC69" s="57">
        <f>IF(ISERROR(VLOOKUP(AB69,$AA$13:AA68,1,FALSE)),0,VLOOKUP(AB69,$AA$13:AA68,1,FALSE))</f>
        <v>0</v>
      </c>
      <c r="AD69" s="57" t="str">
        <f>IF(D69="","",C69&amp;D69&amp;E69)</f>
        <v/>
      </c>
      <c r="AE69" s="57">
        <f>IF(AD69="",1,AD69)</f>
        <v>1</v>
      </c>
      <c r="AF69" s="58">
        <f>IF(ISERROR(VLOOKUP(AE69,$AD$13:AD68,1,FALSE)),0,VLOOKUP(AE69,$AD$13:AD68,1,FALSE))</f>
        <v>0</v>
      </c>
      <c r="AG69" s="58">
        <f>IF(AB69=AC69,1,0)-AF70</f>
        <v>0</v>
      </c>
      <c r="AU69" s="46" t="str">
        <f>$B$4&amp;C71&amp;G71</f>
        <v>一般</v>
      </c>
      <c r="AV69" s="69" t="str">
        <f>$B$4&amp;C71&amp;H71</f>
        <v>一般</v>
      </c>
    </row>
    <row r="70" spans="1:48" ht="27" customHeight="1" x14ac:dyDescent="0.15">
      <c r="B70" s="188"/>
      <c r="C70" s="189"/>
      <c r="D70" s="190"/>
      <c r="E70" s="56"/>
      <c r="F70" s="234"/>
      <c r="G70" s="160"/>
      <c r="H70" s="175"/>
      <c r="I70" s="164"/>
      <c r="J70" s="148"/>
      <c r="K70" s="73"/>
      <c r="L70" s="74"/>
      <c r="M70" s="75"/>
      <c r="N70" s="74"/>
      <c r="O70" s="75"/>
      <c r="P70" s="75"/>
      <c r="Q70" s="75"/>
      <c r="R70" s="74"/>
      <c r="S70" s="74"/>
      <c r="T70" s="74"/>
      <c r="U70" s="74"/>
      <c r="V70" s="74"/>
      <c r="W70" s="74"/>
      <c r="X70" s="74"/>
      <c r="Y70" s="75"/>
      <c r="Z70" s="61"/>
      <c r="AA70" s="61"/>
      <c r="AB70" s="61"/>
      <c r="AC70" s="61"/>
      <c r="AD70" s="61"/>
      <c r="AE70" s="61"/>
      <c r="AF70" s="58">
        <f>IF(AE69=AF69,1,0)</f>
        <v>0</v>
      </c>
      <c r="AG70" s="58"/>
      <c r="AU70" s="52"/>
      <c r="AV70" s="70"/>
    </row>
    <row r="71" spans="1:48" ht="27" customHeight="1" x14ac:dyDescent="0.15">
      <c r="B71" s="187">
        <f>IF(AG71&lt;1,29,"ﾅﾝﾊﾞｰｶｰﾄﾞが重複しています")</f>
        <v>29</v>
      </c>
      <c r="C71" s="189"/>
      <c r="D71" s="190"/>
      <c r="E71" s="56"/>
      <c r="F71" s="251"/>
      <c r="G71" s="135"/>
      <c r="H71" s="176"/>
      <c r="I71" s="165"/>
      <c r="J71" s="147" t="str">
        <f t="shared" ref="J71" si="77">IF(E71="","",IF(LEN(E71)-LEN(SUBSTITUTE(SUBSTITUTE(E71," ",),"　",))=1,"","氏名ｽﾍﾟｰｽ数"&amp;LEN(E71)-LEN(SUBSTITUTE(SUBSTITUTE(E71," ",),"　",))))</f>
        <v/>
      </c>
      <c r="K71" s="73"/>
      <c r="L71" s="74"/>
      <c r="M71" s="75"/>
      <c r="N71" s="74"/>
      <c r="O71" s="75"/>
      <c r="P71" s="75"/>
      <c r="Q71" s="75"/>
      <c r="R71" s="74"/>
      <c r="S71" s="74"/>
      <c r="T71" s="74"/>
      <c r="U71" s="74"/>
      <c r="V71" s="74"/>
      <c r="W71" s="74"/>
      <c r="X71" s="74"/>
      <c r="Y71" s="75"/>
      <c r="Z71" s="57" t="str">
        <f t="shared" ref="Z71" si="78">$B$4&amp;C71</f>
        <v>一般</v>
      </c>
      <c r="AA71" s="57" t="str">
        <f>IF(D71="","",C71&amp;D71)</f>
        <v/>
      </c>
      <c r="AB71" s="57">
        <f>IF(AA71="",1,AA71)</f>
        <v>1</v>
      </c>
      <c r="AC71" s="57">
        <f>IF(ISERROR(VLOOKUP(AB71,$AA$13:AA70,1,FALSE)),0,VLOOKUP(AB71,$AA$13:AA70,1,FALSE))</f>
        <v>0</v>
      </c>
      <c r="AD71" s="57" t="str">
        <f>IF(D71="","",C71&amp;D71&amp;E71)</f>
        <v/>
      </c>
      <c r="AE71" s="57">
        <f>IF(AD71="",1,AD71)</f>
        <v>1</v>
      </c>
      <c r="AF71" s="58">
        <f>IF(ISERROR(VLOOKUP(AE71,$AD$13:AD70,1,FALSE)),0,VLOOKUP(AE71,$AD$13:AD70,1,FALSE))</f>
        <v>0</v>
      </c>
      <c r="AG71" s="58">
        <f>IF(AB71=AC71,1,0)-AF72</f>
        <v>0</v>
      </c>
      <c r="AU71" s="46" t="str">
        <f>$B$4&amp;C73&amp;G73</f>
        <v>一般</v>
      </c>
      <c r="AV71" s="69" t="str">
        <f>$B$4&amp;C73&amp;H73</f>
        <v>一般</v>
      </c>
    </row>
    <row r="72" spans="1:48" ht="27" customHeight="1" x14ac:dyDescent="0.15">
      <c r="B72" s="188"/>
      <c r="C72" s="189"/>
      <c r="D72" s="190"/>
      <c r="E72" s="56"/>
      <c r="F72" s="234"/>
      <c r="G72" s="160"/>
      <c r="H72" s="175"/>
      <c r="I72" s="164"/>
      <c r="J72" s="148"/>
      <c r="K72" s="73"/>
      <c r="L72" s="74"/>
      <c r="M72" s="75"/>
      <c r="N72" s="74"/>
      <c r="O72" s="75"/>
      <c r="P72" s="75"/>
      <c r="Q72" s="75"/>
      <c r="R72" s="74"/>
      <c r="S72" s="74"/>
      <c r="T72" s="74"/>
      <c r="U72" s="74"/>
      <c r="V72" s="74"/>
      <c r="W72" s="74"/>
      <c r="X72" s="74"/>
      <c r="Y72" s="75"/>
      <c r="Z72" s="61"/>
      <c r="AA72" s="61"/>
      <c r="AB72" s="61"/>
      <c r="AC72" s="61"/>
      <c r="AD72" s="61"/>
      <c r="AE72" s="61"/>
      <c r="AF72" s="58">
        <f>IF(AE71=AF71,1,0)</f>
        <v>0</v>
      </c>
      <c r="AG72" s="58"/>
      <c r="AU72" s="52"/>
      <c r="AV72" s="70"/>
    </row>
    <row r="73" spans="1:48" ht="27" customHeight="1" thickBot="1" x14ac:dyDescent="0.2">
      <c r="B73" s="194">
        <f>IF(AG73&lt;1,30,"ﾅﾝﾊﾞｰｶｰﾄﾞが重複しています")</f>
        <v>30</v>
      </c>
      <c r="C73" s="189"/>
      <c r="D73" s="190"/>
      <c r="E73" s="56"/>
      <c r="F73" s="251"/>
      <c r="G73" s="135"/>
      <c r="H73" s="176"/>
      <c r="I73" s="165"/>
      <c r="J73" s="147" t="str">
        <f t="shared" ref="J73" si="79">IF(E73="","",IF(LEN(E73)-LEN(SUBSTITUTE(SUBSTITUTE(E73," ",),"　",))=1,"","氏名ｽﾍﾟｰｽ数"&amp;LEN(E73)-LEN(SUBSTITUTE(SUBSTITUTE(E73," ",),"　",))))</f>
        <v/>
      </c>
      <c r="K73" s="73"/>
      <c r="L73" s="74"/>
      <c r="M73" s="74"/>
      <c r="N73" s="74"/>
      <c r="O73" s="74"/>
      <c r="P73" s="74"/>
      <c r="Q73" s="75"/>
      <c r="R73" s="74"/>
      <c r="S73" s="74"/>
      <c r="T73" s="74"/>
      <c r="U73" s="74"/>
      <c r="V73" s="74"/>
      <c r="W73" s="74"/>
      <c r="X73" s="74"/>
      <c r="Y73" s="75"/>
      <c r="Z73" s="57" t="str">
        <f t="shared" ref="Z73" si="80">$B$4&amp;C73</f>
        <v>一般</v>
      </c>
      <c r="AA73" s="57" t="str">
        <f>IF(D73="","",C73&amp;D73)</f>
        <v/>
      </c>
      <c r="AB73" s="57">
        <f>IF(AA73="",1,AA73)</f>
        <v>1</v>
      </c>
      <c r="AC73" s="57">
        <f>IF(ISERROR(VLOOKUP(AB73,$AA$13:AA72,1,FALSE)),0,VLOOKUP(AB73,$AA$13:AA72,1,FALSE))</f>
        <v>0</v>
      </c>
      <c r="AD73" s="57" t="str">
        <f>IF(D73="","",C73&amp;D73&amp;E73)</f>
        <v/>
      </c>
      <c r="AE73" s="57">
        <f>IF(AD73="",1,AD73)</f>
        <v>1</v>
      </c>
      <c r="AF73" s="58">
        <f>IF(ISERROR(VLOOKUP(AE73,$AD$13:AD72,1,FALSE)),0,VLOOKUP(AE73,$AD$13:AD72,1,FALSE))</f>
        <v>0</v>
      </c>
      <c r="AG73" s="58">
        <f>IF(AB73=AC73,1,0)-AF74</f>
        <v>0</v>
      </c>
      <c r="AU73" s="46" t="str">
        <f>$B$4&amp;C75&amp;G75</f>
        <v>一般</v>
      </c>
      <c r="AV73" s="69" t="str">
        <f>$B$4&amp;C75&amp;H75</f>
        <v>一般</v>
      </c>
    </row>
    <row r="74" spans="1:48" ht="27" customHeight="1" thickBot="1" x14ac:dyDescent="0.2">
      <c r="B74" s="195"/>
      <c r="C74" s="196"/>
      <c r="D74" s="197"/>
      <c r="E74" s="71"/>
      <c r="F74" s="252"/>
      <c r="G74" s="161"/>
      <c r="H74" s="177"/>
      <c r="I74" s="166"/>
      <c r="J74" s="148"/>
      <c r="K74" s="73"/>
      <c r="L74" s="74"/>
      <c r="M74" s="74"/>
      <c r="N74" s="74"/>
      <c r="O74" s="74"/>
      <c r="P74" s="74"/>
      <c r="Q74" s="75"/>
      <c r="R74" s="74"/>
      <c r="S74" s="74"/>
      <c r="T74" s="74"/>
      <c r="U74" s="74"/>
      <c r="V74" s="74"/>
      <c r="W74" s="74"/>
      <c r="X74" s="74"/>
      <c r="Y74" s="75"/>
      <c r="Z74" s="61"/>
      <c r="AA74" s="61"/>
      <c r="AB74" s="61"/>
      <c r="AC74" s="61"/>
      <c r="AD74" s="61"/>
      <c r="AE74" s="61"/>
      <c r="AF74" s="58">
        <f>IF(AE73=AF73,1,0)</f>
        <v>0</v>
      </c>
      <c r="AG74" s="58"/>
      <c r="AU74" s="52"/>
      <c r="AV74" s="70"/>
    </row>
    <row r="75" spans="1:48" ht="27" customHeight="1" x14ac:dyDescent="0.15">
      <c r="A75" s="24">
        <f>COUNTA(E75,E77,E79,E81,E83,E85,E87,E89,E91,E93)</f>
        <v>0</v>
      </c>
      <c r="B75" s="191">
        <f>IF(AG75&lt;1,31,"ﾅﾝﾊﾞｰｶｰﾄﾞが重複しています")</f>
        <v>31</v>
      </c>
      <c r="C75" s="192"/>
      <c r="D75" s="193"/>
      <c r="E75" s="72"/>
      <c r="F75" s="233"/>
      <c r="G75" s="140"/>
      <c r="H75" s="174"/>
      <c r="I75" s="163"/>
      <c r="J75" s="147" t="str">
        <f t="shared" ref="J75" si="81">IF(E75="","",IF(LEN(E75)-LEN(SUBSTITUTE(SUBSTITUTE(E75," ",),"　",))=1,"","氏名ｽﾍﾟｰｽ数"&amp;LEN(E75)-LEN(SUBSTITUTE(SUBSTITUTE(E75," ",),"　",))))</f>
        <v/>
      </c>
      <c r="K75" s="73"/>
      <c r="L75" s="74"/>
      <c r="M75" s="75"/>
      <c r="N75" s="74"/>
      <c r="O75" s="75"/>
      <c r="P75" s="75"/>
      <c r="Q75" s="75"/>
      <c r="R75" s="74"/>
      <c r="S75" s="74"/>
      <c r="T75" s="74"/>
      <c r="U75" s="74"/>
      <c r="V75" s="74"/>
      <c r="W75" s="74"/>
      <c r="X75" s="74"/>
      <c r="Y75" s="75"/>
      <c r="Z75" s="57" t="str">
        <f t="shared" ref="Z75" si="82">$B$4&amp;C75</f>
        <v>一般</v>
      </c>
      <c r="AA75" s="57" t="str">
        <f>IF(D75="","",C75&amp;D75)</f>
        <v/>
      </c>
      <c r="AB75" s="57">
        <f>IF(AA75="",1,AA75)</f>
        <v>1</v>
      </c>
      <c r="AC75" s="57">
        <f>IF(ISERROR(VLOOKUP(AB75,$AA$13:AA74,1,FALSE)),0,VLOOKUP(AB75,$AA$13:AA74,1,FALSE))</f>
        <v>0</v>
      </c>
      <c r="AD75" s="57" t="str">
        <f>IF(D75="","",C75&amp;D75&amp;E75)</f>
        <v/>
      </c>
      <c r="AE75" s="57">
        <f>IF(AD75="",1,AD75)</f>
        <v>1</v>
      </c>
      <c r="AF75" s="58">
        <f>IF(ISERROR(VLOOKUP(AE75,$AD$13:AD74,1,FALSE)),0,VLOOKUP(AE75,$AD$13:AD74,1,FALSE))</f>
        <v>0</v>
      </c>
      <c r="AG75" s="58">
        <f>IF(AB75=AC75,1,0)-AF76</f>
        <v>0</v>
      </c>
      <c r="AU75" s="46" t="str">
        <f>$B$4&amp;C77&amp;G77</f>
        <v>一般</v>
      </c>
      <c r="AV75" s="69" t="str">
        <f>$B$4&amp;C77&amp;H77</f>
        <v>一般</v>
      </c>
    </row>
    <row r="76" spans="1:48" ht="27" customHeight="1" x14ac:dyDescent="0.15">
      <c r="A76" s="59">
        <f>COUNTA(G75:I75,G77:I77,G79:I79,G81:I81,G83:I83,G85:I85,G87:I87,G89:I89,G91:I91,G93:I93)</f>
        <v>0</v>
      </c>
      <c r="B76" s="188"/>
      <c r="C76" s="189"/>
      <c r="D76" s="190"/>
      <c r="E76" s="56"/>
      <c r="F76" s="234"/>
      <c r="G76" s="160"/>
      <c r="H76" s="175"/>
      <c r="I76" s="164"/>
      <c r="J76" s="148"/>
      <c r="K76" s="73"/>
      <c r="L76" s="74"/>
      <c r="M76" s="75"/>
      <c r="N76" s="74"/>
      <c r="O76" s="75"/>
      <c r="P76" s="75"/>
      <c r="Q76" s="75"/>
      <c r="R76" s="74"/>
      <c r="S76" s="74"/>
      <c r="T76" s="74"/>
      <c r="U76" s="74"/>
      <c r="V76" s="74"/>
      <c r="W76" s="74"/>
      <c r="X76" s="74"/>
      <c r="Y76" s="75"/>
      <c r="Z76" s="61"/>
      <c r="AA76" s="61"/>
      <c r="AB76" s="61"/>
      <c r="AC76" s="61"/>
      <c r="AD76" s="61"/>
      <c r="AE76" s="61"/>
      <c r="AF76" s="58">
        <f>IF(AE75=AF75,1,0)</f>
        <v>0</v>
      </c>
      <c r="AG76" s="58"/>
      <c r="AU76" s="52"/>
      <c r="AV76" s="70"/>
    </row>
    <row r="77" spans="1:48" ht="27" customHeight="1" x14ac:dyDescent="0.15">
      <c r="B77" s="187">
        <f>IF(AG77&lt;1,32,"ﾅﾝﾊﾞｰｶｰﾄﾞが重複しています")</f>
        <v>32</v>
      </c>
      <c r="C77" s="189"/>
      <c r="D77" s="190"/>
      <c r="E77" s="56"/>
      <c r="F77" s="251"/>
      <c r="G77" s="135"/>
      <c r="H77" s="176"/>
      <c r="I77" s="165"/>
      <c r="J77" s="147" t="str">
        <f t="shared" ref="J77" si="83">IF(E77="","",IF(LEN(E77)-LEN(SUBSTITUTE(SUBSTITUTE(E77," ",),"　",))=1,"","氏名ｽﾍﾟｰｽ数"&amp;LEN(E77)-LEN(SUBSTITUTE(SUBSTITUTE(E77," ",),"　",))))</f>
        <v/>
      </c>
      <c r="K77" s="73"/>
      <c r="L77" s="75"/>
      <c r="M77" s="75"/>
      <c r="N77" s="75"/>
      <c r="O77" s="75"/>
      <c r="P77" s="75"/>
      <c r="Q77" s="74"/>
      <c r="R77" s="75"/>
      <c r="S77" s="75"/>
      <c r="T77" s="75"/>
      <c r="U77" s="75"/>
      <c r="V77" s="75"/>
      <c r="W77" s="75"/>
      <c r="X77" s="75"/>
      <c r="Y77" s="74"/>
      <c r="Z77" s="57" t="str">
        <f t="shared" ref="Z77" si="84">$B$4&amp;C77</f>
        <v>一般</v>
      </c>
      <c r="AA77" s="57" t="str">
        <f>IF(D77="","",C77&amp;D77)</f>
        <v/>
      </c>
      <c r="AB77" s="57">
        <f>IF(AA77="",1,AA77)</f>
        <v>1</v>
      </c>
      <c r="AC77" s="57">
        <f>IF(ISERROR(VLOOKUP(AB77,$AA$13:AA76,1,FALSE)),0,VLOOKUP(AB77,$AA$13:AA76,1,FALSE))</f>
        <v>0</v>
      </c>
      <c r="AD77" s="57" t="str">
        <f>IF(D77="","",C77&amp;D77&amp;E77)</f>
        <v/>
      </c>
      <c r="AE77" s="57">
        <f>IF(AD77="",1,AD77)</f>
        <v>1</v>
      </c>
      <c r="AF77" s="58">
        <f>IF(ISERROR(VLOOKUP(AE77,$AD$13:AD76,1,FALSE)),0,VLOOKUP(AE77,$AD$13:AD76,1,FALSE))</f>
        <v>0</v>
      </c>
      <c r="AG77" s="58">
        <f>IF(AB77=AC77,1,0)-AF78</f>
        <v>0</v>
      </c>
      <c r="AU77" s="46" t="str">
        <f>$B$4&amp;C79&amp;G79</f>
        <v>一般</v>
      </c>
      <c r="AV77" s="69" t="str">
        <f>$B$4&amp;C79&amp;H79</f>
        <v>一般</v>
      </c>
    </row>
    <row r="78" spans="1:48" ht="27" customHeight="1" x14ac:dyDescent="0.15">
      <c r="B78" s="188"/>
      <c r="C78" s="189"/>
      <c r="D78" s="190"/>
      <c r="E78" s="56"/>
      <c r="F78" s="234"/>
      <c r="G78" s="160"/>
      <c r="H78" s="175"/>
      <c r="I78" s="164"/>
      <c r="J78" s="148"/>
      <c r="K78" s="73"/>
      <c r="L78" s="74"/>
      <c r="M78" s="75"/>
      <c r="N78" s="74"/>
      <c r="O78" s="75"/>
      <c r="P78" s="75"/>
      <c r="Q78" s="75"/>
      <c r="R78" s="74"/>
      <c r="S78" s="74"/>
      <c r="T78" s="74"/>
      <c r="U78" s="74"/>
      <c r="V78" s="74"/>
      <c r="W78" s="74"/>
      <c r="X78" s="74"/>
      <c r="Y78" s="75"/>
      <c r="Z78" s="61"/>
      <c r="AA78" s="61"/>
      <c r="AB78" s="61"/>
      <c r="AC78" s="61"/>
      <c r="AD78" s="61"/>
      <c r="AE78" s="61"/>
      <c r="AF78" s="58">
        <f>IF(AE77=AF77,1,0)</f>
        <v>0</v>
      </c>
      <c r="AG78" s="58"/>
      <c r="AU78" s="52"/>
      <c r="AV78" s="70"/>
    </row>
    <row r="79" spans="1:48" ht="27" customHeight="1" x14ac:dyDescent="0.15">
      <c r="B79" s="187">
        <f>IF(AG79&lt;1,33,"ﾅﾝﾊﾞｰｶｰﾄﾞが重複しています")</f>
        <v>33</v>
      </c>
      <c r="C79" s="189"/>
      <c r="D79" s="190"/>
      <c r="E79" s="56"/>
      <c r="F79" s="251"/>
      <c r="G79" s="135"/>
      <c r="H79" s="176"/>
      <c r="I79" s="165"/>
      <c r="J79" s="147" t="str">
        <f t="shared" ref="J79" si="85">IF(E79="","",IF(LEN(E79)-LEN(SUBSTITUTE(SUBSTITUTE(E79," ",),"　",))=1,"","氏名ｽﾍﾟｰｽ数"&amp;LEN(E79)-LEN(SUBSTITUTE(SUBSTITUTE(E79," ",),"　",))))</f>
        <v/>
      </c>
      <c r="K79" s="73"/>
      <c r="L79" s="75"/>
      <c r="M79" s="75"/>
      <c r="N79" s="75"/>
      <c r="O79" s="75"/>
      <c r="P79" s="75"/>
      <c r="Q79" s="75"/>
      <c r="R79" s="74"/>
      <c r="S79" s="74"/>
      <c r="T79" s="74"/>
      <c r="U79" s="74"/>
      <c r="V79" s="74"/>
      <c r="W79" s="74"/>
      <c r="X79" s="74"/>
      <c r="Y79" s="75"/>
      <c r="Z79" s="57" t="str">
        <f t="shared" ref="Z79" si="86">$B$4&amp;C79</f>
        <v>一般</v>
      </c>
      <c r="AA79" s="57" t="str">
        <f>IF(D79="","",C79&amp;D79)</f>
        <v/>
      </c>
      <c r="AB79" s="57">
        <f>IF(AA79="",1,AA79)</f>
        <v>1</v>
      </c>
      <c r="AC79" s="57">
        <f>IF(ISERROR(VLOOKUP(AB79,$AA$13:AA78,1,FALSE)),0,VLOOKUP(AB79,$AA$13:AA78,1,FALSE))</f>
        <v>0</v>
      </c>
      <c r="AD79" s="57" t="str">
        <f>IF(D79="","",C79&amp;D79&amp;E79)</f>
        <v/>
      </c>
      <c r="AE79" s="57">
        <f>IF(AD79="",1,AD79)</f>
        <v>1</v>
      </c>
      <c r="AF79" s="58">
        <f>IF(ISERROR(VLOOKUP(AE79,$AD$13:AD78,1,FALSE)),0,VLOOKUP(AE79,$AD$13:AD78,1,FALSE))</f>
        <v>0</v>
      </c>
      <c r="AG79" s="58">
        <f>IF(AB79=AC79,1,0)-AF80</f>
        <v>0</v>
      </c>
      <c r="AU79" s="46" t="str">
        <f>$B$4&amp;C81&amp;G81</f>
        <v>一般</v>
      </c>
      <c r="AV79" s="69" t="str">
        <f>$B$4&amp;C81&amp;H81</f>
        <v>一般</v>
      </c>
    </row>
    <row r="80" spans="1:48" ht="27" customHeight="1" x14ac:dyDescent="0.15">
      <c r="B80" s="188"/>
      <c r="C80" s="189"/>
      <c r="D80" s="190"/>
      <c r="E80" s="56"/>
      <c r="F80" s="234"/>
      <c r="G80" s="160"/>
      <c r="H80" s="175"/>
      <c r="I80" s="164"/>
      <c r="J80" s="148"/>
      <c r="K80" s="73"/>
      <c r="L80" s="74"/>
      <c r="M80" s="75"/>
      <c r="N80" s="74"/>
      <c r="O80" s="75"/>
      <c r="P80" s="75"/>
      <c r="Q80" s="75"/>
      <c r="R80" s="75"/>
      <c r="S80" s="75"/>
      <c r="T80" s="75"/>
      <c r="U80" s="75"/>
      <c r="V80" s="75"/>
      <c r="W80" s="75"/>
      <c r="X80" s="75"/>
      <c r="Y80" s="75"/>
      <c r="Z80" s="61"/>
      <c r="AA80" s="61"/>
      <c r="AB80" s="61"/>
      <c r="AC80" s="61"/>
      <c r="AD80" s="61"/>
      <c r="AE80" s="61"/>
      <c r="AF80" s="58">
        <f>IF(AE79=AF79,1,0)</f>
        <v>0</v>
      </c>
      <c r="AG80" s="58"/>
      <c r="AU80" s="52"/>
      <c r="AV80" s="70"/>
    </row>
    <row r="81" spans="1:48" ht="27" customHeight="1" x14ac:dyDescent="0.15">
      <c r="B81" s="187">
        <f>IF(AG81&lt;1,34,"ﾅﾝﾊﾞｰｶｰﾄﾞが重複しています")</f>
        <v>34</v>
      </c>
      <c r="C81" s="189"/>
      <c r="D81" s="190"/>
      <c r="E81" s="56"/>
      <c r="F81" s="251"/>
      <c r="G81" s="135"/>
      <c r="H81" s="176"/>
      <c r="I81" s="165"/>
      <c r="J81" s="147" t="str">
        <f t="shared" ref="J81" si="87">IF(E81="","",IF(LEN(E81)-LEN(SUBSTITUTE(SUBSTITUTE(E81," ",),"　",))=1,"","氏名ｽﾍﾟｰｽ数"&amp;LEN(E81)-LEN(SUBSTITUTE(SUBSTITUTE(E81," ",),"　",))))</f>
        <v/>
      </c>
      <c r="K81" s="73"/>
      <c r="L81" s="75"/>
      <c r="M81" s="75"/>
      <c r="N81" s="75"/>
      <c r="O81" s="75"/>
      <c r="P81" s="75"/>
      <c r="Q81" s="75"/>
      <c r="R81" s="74"/>
      <c r="S81" s="74"/>
      <c r="T81" s="74"/>
      <c r="U81" s="74"/>
      <c r="V81" s="74"/>
      <c r="W81" s="74"/>
      <c r="X81" s="74"/>
      <c r="Y81" s="75"/>
      <c r="Z81" s="57" t="str">
        <f t="shared" ref="Z81" si="88">$B$4&amp;C81</f>
        <v>一般</v>
      </c>
      <c r="AA81" s="57" t="str">
        <f>IF(D81="","",C81&amp;D81)</f>
        <v/>
      </c>
      <c r="AB81" s="57">
        <f>IF(AA81="",1,AA81)</f>
        <v>1</v>
      </c>
      <c r="AC81" s="57">
        <f>IF(ISERROR(VLOOKUP(AB81,$AA$13:AA80,1,FALSE)),0,VLOOKUP(AB81,$AA$13:AA80,1,FALSE))</f>
        <v>0</v>
      </c>
      <c r="AD81" s="57" t="str">
        <f>IF(D81="","",C81&amp;D81&amp;E81)</f>
        <v/>
      </c>
      <c r="AE81" s="57">
        <f>IF(AD81="",1,AD81)</f>
        <v>1</v>
      </c>
      <c r="AF81" s="58">
        <f>IF(ISERROR(VLOOKUP(AE81,$AD$13:AD80,1,FALSE)),0,VLOOKUP(AE81,$AD$13:AD80,1,FALSE))</f>
        <v>0</v>
      </c>
      <c r="AG81" s="58">
        <f>IF(AB81=AC81,1,0)-AF82</f>
        <v>0</v>
      </c>
      <c r="AU81" s="46" t="str">
        <f>$B$4&amp;C83&amp;G83</f>
        <v>一般</v>
      </c>
      <c r="AV81" s="69" t="str">
        <f>$B$4&amp;C83&amp;H83</f>
        <v>一般</v>
      </c>
    </row>
    <row r="82" spans="1:48" ht="27" customHeight="1" x14ac:dyDescent="0.15">
      <c r="B82" s="188"/>
      <c r="C82" s="189"/>
      <c r="D82" s="190"/>
      <c r="E82" s="56"/>
      <c r="F82" s="234"/>
      <c r="G82" s="160"/>
      <c r="H82" s="175"/>
      <c r="I82" s="164"/>
      <c r="J82" s="148"/>
      <c r="K82" s="73"/>
      <c r="L82" s="75"/>
      <c r="M82" s="75"/>
      <c r="N82" s="75"/>
      <c r="O82" s="75"/>
      <c r="P82" s="75"/>
      <c r="Q82" s="75"/>
      <c r="R82" s="74"/>
      <c r="S82" s="74"/>
      <c r="T82" s="74"/>
      <c r="U82" s="74"/>
      <c r="V82" s="74"/>
      <c r="W82" s="74"/>
      <c r="X82" s="74"/>
      <c r="Y82" s="75"/>
      <c r="Z82" s="61"/>
      <c r="AA82" s="61"/>
      <c r="AB82" s="61"/>
      <c r="AC82" s="61"/>
      <c r="AD82" s="61"/>
      <c r="AE82" s="61"/>
      <c r="AF82" s="58">
        <f>IF(AE81=AF81,1,0)</f>
        <v>0</v>
      </c>
      <c r="AG82" s="58"/>
      <c r="AU82" s="52"/>
      <c r="AV82" s="70"/>
    </row>
    <row r="83" spans="1:48" ht="27" customHeight="1" x14ac:dyDescent="0.15">
      <c r="B83" s="187">
        <f>IF(AG83&lt;1,35,"ﾅﾝﾊﾞｰｶｰﾄﾞが重複しています")</f>
        <v>35</v>
      </c>
      <c r="C83" s="189"/>
      <c r="D83" s="190"/>
      <c r="E83" s="56"/>
      <c r="F83" s="251"/>
      <c r="G83" s="135"/>
      <c r="H83" s="176"/>
      <c r="I83" s="165"/>
      <c r="J83" s="147" t="str">
        <f t="shared" ref="J83" si="89">IF(E83="","",IF(LEN(E83)-LEN(SUBSTITUTE(SUBSTITUTE(E83," ",),"　",))=1,"","氏名ｽﾍﾟｰｽ数"&amp;LEN(E83)-LEN(SUBSTITUTE(SUBSTITUTE(E83," ",),"　",))))</f>
        <v/>
      </c>
      <c r="K83" s="73"/>
      <c r="L83" s="74"/>
      <c r="M83" s="75"/>
      <c r="N83" s="74"/>
      <c r="O83" s="75"/>
      <c r="P83" s="75"/>
      <c r="Q83" s="75"/>
      <c r="R83" s="75"/>
      <c r="S83" s="75"/>
      <c r="T83" s="75"/>
      <c r="U83" s="75"/>
      <c r="V83" s="75"/>
      <c r="W83" s="75"/>
      <c r="X83" s="75"/>
      <c r="Y83" s="75"/>
      <c r="Z83" s="57" t="str">
        <f t="shared" ref="Z83" si="90">$B$4&amp;C83</f>
        <v>一般</v>
      </c>
      <c r="AA83" s="57" t="str">
        <f>IF(D83="","",C83&amp;D83)</f>
        <v/>
      </c>
      <c r="AB83" s="57">
        <f>IF(AA83="",1,AA83)</f>
        <v>1</v>
      </c>
      <c r="AC83" s="57">
        <f>IF(ISERROR(VLOOKUP(AB83,$AA$13:AA82,1,FALSE)),0,VLOOKUP(AB83,$AA$13:AA82,1,FALSE))</f>
        <v>0</v>
      </c>
      <c r="AD83" s="57" t="str">
        <f>IF(D83="","",C83&amp;D83&amp;E83)</f>
        <v/>
      </c>
      <c r="AE83" s="57">
        <f>IF(AD83="",1,AD83)</f>
        <v>1</v>
      </c>
      <c r="AF83" s="58">
        <f>IF(ISERROR(VLOOKUP(AE83,$AD$13:AD82,1,FALSE)),0,VLOOKUP(AE83,$AD$13:AD82,1,FALSE))</f>
        <v>0</v>
      </c>
      <c r="AG83" s="58">
        <f>IF(AB83=AC83,1,0)-AF84</f>
        <v>0</v>
      </c>
      <c r="AU83" s="46" t="str">
        <f>$B$4&amp;C85&amp;G85</f>
        <v>一般</v>
      </c>
      <c r="AV83" s="69" t="str">
        <f>$B$4&amp;C85&amp;H85</f>
        <v>一般</v>
      </c>
    </row>
    <row r="84" spans="1:48" ht="27" customHeight="1" x14ac:dyDescent="0.15">
      <c r="B84" s="188"/>
      <c r="C84" s="189"/>
      <c r="D84" s="190"/>
      <c r="E84" s="56"/>
      <c r="F84" s="234"/>
      <c r="G84" s="160"/>
      <c r="H84" s="175"/>
      <c r="I84" s="164"/>
      <c r="J84" s="148"/>
      <c r="K84" s="73"/>
      <c r="L84" s="74"/>
      <c r="M84" s="75"/>
      <c r="N84" s="74"/>
      <c r="O84" s="75"/>
      <c r="P84" s="75"/>
      <c r="Q84" s="75"/>
      <c r="R84" s="75"/>
      <c r="S84" s="75"/>
      <c r="T84" s="75"/>
      <c r="U84" s="75"/>
      <c r="V84" s="75"/>
      <c r="W84" s="75"/>
      <c r="X84" s="75"/>
      <c r="Y84" s="75"/>
      <c r="Z84" s="61"/>
      <c r="AA84" s="61"/>
      <c r="AB84" s="61"/>
      <c r="AC84" s="61"/>
      <c r="AD84" s="61"/>
      <c r="AE84" s="61"/>
      <c r="AF84" s="58">
        <f>IF(AE83=AF83,1,0)</f>
        <v>0</v>
      </c>
      <c r="AG84" s="58"/>
      <c r="AU84" s="52"/>
      <c r="AV84" s="70"/>
    </row>
    <row r="85" spans="1:48" ht="27" customHeight="1" x14ac:dyDescent="0.15">
      <c r="B85" s="187">
        <f>IF(AG85&lt;1,36,"ﾅﾝﾊﾞｰｶｰﾄﾞが重複しています")</f>
        <v>36</v>
      </c>
      <c r="C85" s="189"/>
      <c r="D85" s="190"/>
      <c r="E85" s="56"/>
      <c r="F85" s="251"/>
      <c r="G85" s="135"/>
      <c r="H85" s="176"/>
      <c r="I85" s="165"/>
      <c r="J85" s="147" t="str">
        <f t="shared" ref="J85" si="91">IF(E85="","",IF(LEN(E85)-LEN(SUBSTITUTE(SUBSTITUTE(E85," ",),"　",))=1,"","氏名ｽﾍﾟｰｽ数"&amp;LEN(E85)-LEN(SUBSTITUTE(SUBSTITUTE(E85," ",),"　",))))</f>
        <v/>
      </c>
      <c r="K85" s="76"/>
      <c r="L85" s="74"/>
      <c r="M85" s="75"/>
      <c r="N85" s="74"/>
      <c r="O85" s="75"/>
      <c r="P85" s="75"/>
      <c r="Q85" s="75"/>
      <c r="R85" s="74"/>
      <c r="S85" s="74"/>
      <c r="T85" s="74"/>
      <c r="U85" s="74"/>
      <c r="V85" s="74"/>
      <c r="W85" s="74"/>
      <c r="X85" s="74"/>
      <c r="Y85" s="75"/>
      <c r="Z85" s="57" t="str">
        <f t="shared" ref="Z85" si="92">$B$4&amp;C85</f>
        <v>一般</v>
      </c>
      <c r="AA85" s="57" t="str">
        <f>IF(D85="","",C85&amp;D85)</f>
        <v/>
      </c>
      <c r="AB85" s="57">
        <f>IF(AA85="",1,AA85)</f>
        <v>1</v>
      </c>
      <c r="AC85" s="57">
        <f>IF(ISERROR(VLOOKUP(AB85,$AA$13:AA84,1,FALSE)),0,VLOOKUP(AB85,$AA$13:AA84,1,FALSE))</f>
        <v>0</v>
      </c>
      <c r="AD85" s="57" t="str">
        <f>IF(D85="","",C85&amp;D85&amp;E85)</f>
        <v/>
      </c>
      <c r="AE85" s="57">
        <f>IF(AD85="",1,AD85)</f>
        <v>1</v>
      </c>
      <c r="AF85" s="58">
        <f>IF(ISERROR(VLOOKUP(AE85,$AD$13:AD84,1,FALSE)),0,VLOOKUP(AE85,$AD$13:AD84,1,FALSE))</f>
        <v>0</v>
      </c>
      <c r="AG85" s="58">
        <f>IF(AB85=AC85,1,0)-AF86</f>
        <v>0</v>
      </c>
      <c r="AU85" s="46" t="str">
        <f>$B$4&amp;C87&amp;G87</f>
        <v>一般</v>
      </c>
      <c r="AV85" s="69" t="str">
        <f>$B$4&amp;C87&amp;H87</f>
        <v>一般</v>
      </c>
    </row>
    <row r="86" spans="1:48" ht="27" customHeight="1" x14ac:dyDescent="0.15">
      <c r="B86" s="188"/>
      <c r="C86" s="189"/>
      <c r="D86" s="190"/>
      <c r="E86" s="56"/>
      <c r="F86" s="234"/>
      <c r="G86" s="160"/>
      <c r="H86" s="175"/>
      <c r="I86" s="164"/>
      <c r="J86" s="148"/>
      <c r="K86" s="73"/>
      <c r="L86" s="74"/>
      <c r="M86" s="75"/>
      <c r="N86" s="74"/>
      <c r="O86" s="75"/>
      <c r="P86" s="75"/>
      <c r="Q86" s="75"/>
      <c r="R86" s="75"/>
      <c r="S86" s="75"/>
      <c r="T86" s="75"/>
      <c r="U86" s="75"/>
      <c r="V86" s="75"/>
      <c r="W86" s="75"/>
      <c r="X86" s="75"/>
      <c r="Y86" s="75"/>
      <c r="Z86" s="61"/>
      <c r="AA86" s="61"/>
      <c r="AB86" s="61"/>
      <c r="AC86" s="61"/>
      <c r="AD86" s="61"/>
      <c r="AE86" s="61"/>
      <c r="AF86" s="58">
        <f>IF(AE85=AF85,1,0)</f>
        <v>0</v>
      </c>
      <c r="AG86" s="58"/>
      <c r="AU86" s="52"/>
      <c r="AV86" s="70"/>
    </row>
    <row r="87" spans="1:48" ht="27" customHeight="1" x14ac:dyDescent="0.15">
      <c r="B87" s="187">
        <f>IF(AG87&lt;1,37,"ﾅﾝﾊﾞｰｶｰﾄﾞが重複しています")</f>
        <v>37</v>
      </c>
      <c r="C87" s="189"/>
      <c r="D87" s="190"/>
      <c r="E87" s="56"/>
      <c r="F87" s="251"/>
      <c r="G87" s="135"/>
      <c r="H87" s="176"/>
      <c r="I87" s="165"/>
      <c r="J87" s="147" t="str">
        <f t="shared" ref="J87" si="93">IF(E87="","",IF(LEN(E87)-LEN(SUBSTITUTE(SUBSTITUTE(E87," ",),"　",))=1,"","氏名ｽﾍﾟｰｽ数"&amp;LEN(E87)-LEN(SUBSTITUTE(SUBSTITUTE(E87," ",),"　",))))</f>
        <v/>
      </c>
      <c r="K87" s="73"/>
      <c r="L87" s="75"/>
      <c r="M87" s="75"/>
      <c r="N87" s="75"/>
      <c r="O87" s="75"/>
      <c r="P87" s="75"/>
      <c r="Q87" s="75"/>
      <c r="R87" s="74"/>
      <c r="S87" s="74"/>
      <c r="T87" s="74"/>
      <c r="U87" s="74"/>
      <c r="V87" s="74"/>
      <c r="W87" s="74"/>
      <c r="X87" s="74"/>
      <c r="Y87" s="75"/>
      <c r="Z87" s="57" t="str">
        <f t="shared" ref="Z87" si="94">$B$4&amp;C87</f>
        <v>一般</v>
      </c>
      <c r="AA87" s="57" t="str">
        <f>IF(D87="","",C87&amp;D87)</f>
        <v/>
      </c>
      <c r="AB87" s="57">
        <f>IF(AA87="",1,AA87)</f>
        <v>1</v>
      </c>
      <c r="AC87" s="57">
        <f>IF(ISERROR(VLOOKUP(AB87,$AA$13:AA86,1,FALSE)),0,VLOOKUP(AB87,$AA$13:AA86,1,FALSE))</f>
        <v>0</v>
      </c>
      <c r="AD87" s="57" t="str">
        <f>IF(D87="","",C87&amp;D87&amp;E87)</f>
        <v/>
      </c>
      <c r="AE87" s="57">
        <f>IF(AD87="",1,AD87)</f>
        <v>1</v>
      </c>
      <c r="AF87" s="58">
        <f>IF(ISERROR(VLOOKUP(AE87,$AD$13:AD86,1,FALSE)),0,VLOOKUP(AE87,$AD$13:AD86,1,FALSE))</f>
        <v>0</v>
      </c>
      <c r="AG87" s="58">
        <f>IF(AB87=AC87,1,0)-AF88</f>
        <v>0</v>
      </c>
      <c r="AU87" s="46" t="str">
        <f>$B$4&amp;C89&amp;G89</f>
        <v>一般</v>
      </c>
      <c r="AV87" s="69" t="str">
        <f>$B$4&amp;C89&amp;H89</f>
        <v>一般</v>
      </c>
    </row>
    <row r="88" spans="1:48" ht="27" customHeight="1" x14ac:dyDescent="0.15">
      <c r="B88" s="188"/>
      <c r="C88" s="189"/>
      <c r="D88" s="190"/>
      <c r="E88" s="56"/>
      <c r="F88" s="234"/>
      <c r="G88" s="160"/>
      <c r="H88" s="175"/>
      <c r="I88" s="164"/>
      <c r="J88" s="148"/>
      <c r="K88" s="73"/>
      <c r="L88" s="74"/>
      <c r="M88" s="75"/>
      <c r="N88" s="74"/>
      <c r="O88" s="75"/>
      <c r="P88" s="75"/>
      <c r="Q88" s="75"/>
      <c r="R88" s="75"/>
      <c r="S88" s="75"/>
      <c r="T88" s="75"/>
      <c r="U88" s="75"/>
      <c r="V88" s="75"/>
      <c r="W88" s="75"/>
      <c r="X88" s="75"/>
      <c r="Y88" s="75"/>
      <c r="Z88" s="61"/>
      <c r="AA88" s="61"/>
      <c r="AB88" s="61"/>
      <c r="AC88" s="61"/>
      <c r="AD88" s="61"/>
      <c r="AE88" s="61"/>
      <c r="AF88" s="58">
        <f>IF(AE87=AF87,1,0)</f>
        <v>0</v>
      </c>
      <c r="AG88" s="58"/>
      <c r="AU88" s="52"/>
      <c r="AV88" s="70"/>
    </row>
    <row r="89" spans="1:48" ht="27" customHeight="1" x14ac:dyDescent="0.15">
      <c r="B89" s="187">
        <f>IF(AG89&lt;1,38,"ﾅﾝﾊﾞｰｶｰﾄﾞが重複しています")</f>
        <v>38</v>
      </c>
      <c r="C89" s="189"/>
      <c r="D89" s="190"/>
      <c r="E89" s="56"/>
      <c r="F89" s="251"/>
      <c r="G89" s="135"/>
      <c r="H89" s="176"/>
      <c r="I89" s="165"/>
      <c r="J89" s="147" t="str">
        <f t="shared" ref="J89" si="95">IF(E89="","",IF(LEN(E89)-LEN(SUBSTITUTE(SUBSTITUTE(E89," ",),"　",))=1,"","氏名ｽﾍﾟｰｽ数"&amp;LEN(E89)-LEN(SUBSTITUTE(SUBSTITUTE(E89," ",),"　",))))</f>
        <v/>
      </c>
      <c r="K89" s="73"/>
      <c r="L89" s="74"/>
      <c r="M89" s="75"/>
      <c r="N89" s="74"/>
      <c r="O89" s="75"/>
      <c r="P89" s="75"/>
      <c r="Q89" s="74"/>
      <c r="R89" s="74"/>
      <c r="S89" s="74"/>
      <c r="T89" s="74"/>
      <c r="U89" s="74"/>
      <c r="V89" s="74"/>
      <c r="W89" s="74"/>
      <c r="X89" s="74"/>
      <c r="Y89" s="75"/>
      <c r="Z89" s="57" t="str">
        <f t="shared" ref="Z89" si="96">$B$4&amp;C89</f>
        <v>一般</v>
      </c>
      <c r="AA89" s="57" t="str">
        <f>IF(D89="","",C89&amp;D89)</f>
        <v/>
      </c>
      <c r="AB89" s="57">
        <f>IF(AA89="",1,AA89)</f>
        <v>1</v>
      </c>
      <c r="AC89" s="57">
        <f>IF(ISERROR(VLOOKUP(AB89,$AA$13:AA88,1,FALSE)),0,VLOOKUP(AB89,$AA$13:AA88,1,FALSE))</f>
        <v>0</v>
      </c>
      <c r="AD89" s="57" t="str">
        <f>IF(D89="","",C89&amp;D89&amp;E89)</f>
        <v/>
      </c>
      <c r="AE89" s="57">
        <f>IF(AD89="",1,AD89)</f>
        <v>1</v>
      </c>
      <c r="AF89" s="58">
        <f>IF(ISERROR(VLOOKUP(AE89,$AD$13:AD88,1,FALSE)),0,VLOOKUP(AE89,$AD$13:AD88,1,FALSE))</f>
        <v>0</v>
      </c>
      <c r="AG89" s="58">
        <f>IF(AB89=AC89,1,0)-AF90</f>
        <v>0</v>
      </c>
      <c r="AU89" s="46" t="str">
        <f>$B$4&amp;C91&amp;G91</f>
        <v>一般</v>
      </c>
      <c r="AV89" s="69" t="str">
        <f>$B$4&amp;C91&amp;H91</f>
        <v>一般</v>
      </c>
    </row>
    <row r="90" spans="1:48" ht="27" customHeight="1" x14ac:dyDescent="0.15">
      <c r="B90" s="188"/>
      <c r="C90" s="189"/>
      <c r="D90" s="190"/>
      <c r="E90" s="56"/>
      <c r="F90" s="234"/>
      <c r="G90" s="160"/>
      <c r="H90" s="175"/>
      <c r="I90" s="164"/>
      <c r="J90" s="148"/>
      <c r="K90" s="73"/>
      <c r="L90" s="74"/>
      <c r="M90" s="75"/>
      <c r="N90" s="74"/>
      <c r="O90" s="75"/>
      <c r="P90" s="75"/>
      <c r="Q90" s="75"/>
      <c r="R90" s="74"/>
      <c r="S90" s="74"/>
      <c r="T90" s="74"/>
      <c r="U90" s="74"/>
      <c r="V90" s="74"/>
      <c r="W90" s="74"/>
      <c r="X90" s="74"/>
      <c r="Y90" s="75"/>
      <c r="Z90" s="61"/>
      <c r="AA90" s="61"/>
      <c r="AB90" s="61"/>
      <c r="AC90" s="61"/>
      <c r="AD90" s="61"/>
      <c r="AE90" s="61"/>
      <c r="AF90" s="58">
        <f>IF(AE89=AF89,1,0)</f>
        <v>0</v>
      </c>
      <c r="AG90" s="58"/>
      <c r="AU90" s="52"/>
      <c r="AV90" s="70"/>
    </row>
    <row r="91" spans="1:48" ht="27" customHeight="1" x14ac:dyDescent="0.15">
      <c r="B91" s="187">
        <f>IF(AG91&lt;1,39,"ﾅﾝﾊﾞｰｶｰﾄﾞが重複しています")</f>
        <v>39</v>
      </c>
      <c r="C91" s="189"/>
      <c r="D91" s="190"/>
      <c r="E91" s="56"/>
      <c r="F91" s="251"/>
      <c r="G91" s="135"/>
      <c r="H91" s="176"/>
      <c r="I91" s="165"/>
      <c r="J91" s="147" t="str">
        <f t="shared" ref="J91" si="97">IF(E91="","",IF(LEN(E91)-LEN(SUBSTITUTE(SUBSTITUTE(E91," ",),"　",))=1,"","氏名ｽﾍﾟｰｽ数"&amp;LEN(E91)-LEN(SUBSTITUTE(SUBSTITUTE(E91," ",),"　",))))</f>
        <v/>
      </c>
      <c r="K91" s="73"/>
      <c r="L91" s="74"/>
      <c r="M91" s="75"/>
      <c r="N91" s="74"/>
      <c r="O91" s="75"/>
      <c r="P91" s="75"/>
      <c r="Q91" s="75"/>
      <c r="R91" s="74"/>
      <c r="S91" s="74"/>
      <c r="T91" s="74"/>
      <c r="U91" s="74"/>
      <c r="V91" s="74"/>
      <c r="W91" s="74"/>
      <c r="X91" s="74"/>
      <c r="Y91" s="75"/>
      <c r="Z91" s="57" t="str">
        <f t="shared" ref="Z91" si="98">$B$4&amp;C91</f>
        <v>一般</v>
      </c>
      <c r="AA91" s="57" t="str">
        <f>IF(D91="","",C91&amp;D91)</f>
        <v/>
      </c>
      <c r="AB91" s="57">
        <f>IF(AA91="",1,AA91)</f>
        <v>1</v>
      </c>
      <c r="AC91" s="57">
        <f>IF(ISERROR(VLOOKUP(AB91,$AA$13:AA90,1,FALSE)),0,VLOOKUP(AB91,$AA$13:AA90,1,FALSE))</f>
        <v>0</v>
      </c>
      <c r="AD91" s="57" t="str">
        <f>IF(D91="","",C91&amp;D91&amp;E91)</f>
        <v/>
      </c>
      <c r="AE91" s="57">
        <f>IF(AD91="",1,AD91)</f>
        <v>1</v>
      </c>
      <c r="AF91" s="58">
        <f>IF(ISERROR(VLOOKUP(AE91,$AD$13:AD90,1,FALSE)),0,VLOOKUP(AE91,$AD$13:AD90,1,FALSE))</f>
        <v>0</v>
      </c>
      <c r="AG91" s="58">
        <f>IF(AB91=AC91,1,0)-AF92</f>
        <v>0</v>
      </c>
      <c r="AU91" s="46" t="str">
        <f>$B$4&amp;C93&amp;G93</f>
        <v>一般</v>
      </c>
      <c r="AV91" s="69" t="str">
        <f>$B$4&amp;C93&amp;H93</f>
        <v>一般</v>
      </c>
    </row>
    <row r="92" spans="1:48" ht="27" customHeight="1" x14ac:dyDescent="0.15">
      <c r="B92" s="188"/>
      <c r="C92" s="189"/>
      <c r="D92" s="190"/>
      <c r="E92" s="56"/>
      <c r="F92" s="234"/>
      <c r="G92" s="160"/>
      <c r="H92" s="175"/>
      <c r="I92" s="164"/>
      <c r="J92" s="148"/>
      <c r="K92" s="73"/>
      <c r="L92" s="74"/>
      <c r="M92" s="75"/>
      <c r="N92" s="74"/>
      <c r="O92" s="75"/>
      <c r="P92" s="75"/>
      <c r="Q92" s="75"/>
      <c r="R92" s="74"/>
      <c r="S92" s="74"/>
      <c r="T92" s="74"/>
      <c r="U92" s="74"/>
      <c r="V92" s="74"/>
      <c r="W92" s="74"/>
      <c r="X92" s="74"/>
      <c r="Y92" s="75"/>
      <c r="Z92" s="61"/>
      <c r="AA92" s="61"/>
      <c r="AB92" s="61"/>
      <c r="AC92" s="61"/>
      <c r="AD92" s="61"/>
      <c r="AE92" s="61"/>
      <c r="AF92" s="58">
        <f>IF(AE91=AF91,1,0)</f>
        <v>0</v>
      </c>
      <c r="AG92" s="58"/>
      <c r="AU92" s="52"/>
      <c r="AV92" s="70"/>
    </row>
    <row r="93" spans="1:48" ht="27" customHeight="1" thickBot="1" x14ac:dyDescent="0.2">
      <c r="B93" s="194">
        <f>IF(AG93&lt;1,40,"ﾅﾝﾊﾞｰｶｰﾄﾞが重複しています")</f>
        <v>40</v>
      </c>
      <c r="C93" s="189"/>
      <c r="D93" s="190"/>
      <c r="E93" s="56"/>
      <c r="F93" s="251"/>
      <c r="G93" s="135"/>
      <c r="H93" s="176"/>
      <c r="I93" s="165"/>
      <c r="J93" s="147" t="str">
        <f t="shared" ref="J93" si="99">IF(E93="","",IF(LEN(E93)-LEN(SUBSTITUTE(SUBSTITUTE(E93," ",),"　",))=1,"","氏名ｽﾍﾟｰｽ数"&amp;LEN(E93)-LEN(SUBSTITUTE(SUBSTITUTE(E93," ",),"　",))))</f>
        <v/>
      </c>
      <c r="K93" s="73"/>
      <c r="L93" s="74"/>
      <c r="M93" s="74"/>
      <c r="N93" s="74"/>
      <c r="O93" s="74"/>
      <c r="P93" s="74"/>
      <c r="Q93" s="75"/>
      <c r="R93" s="74"/>
      <c r="S93" s="74"/>
      <c r="T93" s="74"/>
      <c r="U93" s="74"/>
      <c r="V93" s="74"/>
      <c r="W93" s="74"/>
      <c r="X93" s="74"/>
      <c r="Y93" s="75"/>
      <c r="Z93" s="57" t="str">
        <f t="shared" ref="Z93" si="100">$B$4&amp;C93</f>
        <v>一般</v>
      </c>
      <c r="AA93" s="57" t="str">
        <f>IF(D93="","",C93&amp;D93)</f>
        <v/>
      </c>
      <c r="AB93" s="57">
        <f>IF(AA93="",1,AA93)</f>
        <v>1</v>
      </c>
      <c r="AC93" s="57">
        <f>IF(ISERROR(VLOOKUP(AB93,$AA$13:AA92,1,FALSE)),0,VLOOKUP(AB93,$AA$13:AA92,1,FALSE))</f>
        <v>0</v>
      </c>
      <c r="AD93" s="57" t="str">
        <f>IF(D93="","",C93&amp;D93&amp;E93)</f>
        <v/>
      </c>
      <c r="AE93" s="57">
        <f>IF(AD93="",1,AD93)</f>
        <v>1</v>
      </c>
      <c r="AF93" s="58">
        <f>IF(ISERROR(VLOOKUP(AE93,$AD$13:AD92,1,FALSE)),0,VLOOKUP(AE93,$AD$13:AD92,1,FALSE))</f>
        <v>0</v>
      </c>
      <c r="AG93" s="58">
        <f>IF(AB93=AC93,1,0)-AF94</f>
        <v>0</v>
      </c>
      <c r="AU93" s="46" t="str">
        <f>$B$4&amp;C95&amp;G95</f>
        <v>一般</v>
      </c>
      <c r="AV93" s="69" t="str">
        <f>$B$4&amp;C95&amp;H95</f>
        <v>一般</v>
      </c>
    </row>
    <row r="94" spans="1:48" ht="27" customHeight="1" thickBot="1" x14ac:dyDescent="0.2">
      <c r="B94" s="195"/>
      <c r="C94" s="196"/>
      <c r="D94" s="197"/>
      <c r="E94" s="71"/>
      <c r="F94" s="252"/>
      <c r="G94" s="161"/>
      <c r="H94" s="177"/>
      <c r="I94" s="166"/>
      <c r="J94" s="148"/>
      <c r="K94" s="73"/>
      <c r="L94" s="74"/>
      <c r="M94" s="74"/>
      <c r="N94" s="74"/>
      <c r="O94" s="74"/>
      <c r="P94" s="74"/>
      <c r="Q94" s="75"/>
      <c r="R94" s="74"/>
      <c r="S94" s="74"/>
      <c r="T94" s="74"/>
      <c r="U94" s="74"/>
      <c r="V94" s="74"/>
      <c r="W94" s="74"/>
      <c r="X94" s="74"/>
      <c r="Y94" s="75"/>
      <c r="Z94" s="61"/>
      <c r="AA94" s="61"/>
      <c r="AB94" s="61"/>
      <c r="AC94" s="61"/>
      <c r="AD94" s="61"/>
      <c r="AE94" s="61"/>
      <c r="AF94" s="58">
        <f>IF(AE93=AF93,1,0)</f>
        <v>0</v>
      </c>
      <c r="AG94" s="58"/>
      <c r="AU94" s="52"/>
      <c r="AV94" s="70"/>
    </row>
    <row r="95" spans="1:48" ht="27" customHeight="1" x14ac:dyDescent="0.15">
      <c r="A95" s="24">
        <f>COUNTA(E95,E97,E99,E101,E103,E105,E107,E109,E111,E113)</f>
        <v>0</v>
      </c>
      <c r="B95" s="191">
        <f>IF(AG95&lt;1,41,"ﾅﾝﾊﾞｰｶｰﾄﾞが重複しています")</f>
        <v>41</v>
      </c>
      <c r="C95" s="192"/>
      <c r="D95" s="193"/>
      <c r="E95" s="72"/>
      <c r="F95" s="233"/>
      <c r="G95" s="140"/>
      <c r="H95" s="174"/>
      <c r="I95" s="163"/>
      <c r="J95" s="147" t="str">
        <f t="shared" ref="J95" si="101">IF(E95="","",IF(LEN(E95)-LEN(SUBSTITUTE(SUBSTITUTE(E95," ",),"　",))=1,"","氏名ｽﾍﾟｰｽ数"&amp;LEN(E95)-LEN(SUBSTITUTE(SUBSTITUTE(E95," ",),"　",))))</f>
        <v/>
      </c>
      <c r="K95" s="73"/>
      <c r="L95" s="74"/>
      <c r="M95" s="75"/>
      <c r="N95" s="74"/>
      <c r="O95" s="75"/>
      <c r="P95" s="75"/>
      <c r="Q95" s="75"/>
      <c r="R95" s="74"/>
      <c r="S95" s="74"/>
      <c r="T95" s="74"/>
      <c r="U95" s="74"/>
      <c r="V95" s="74"/>
      <c r="W95" s="74"/>
      <c r="X95" s="74"/>
      <c r="Y95" s="75"/>
      <c r="Z95" s="57" t="str">
        <f t="shared" ref="Z95" si="102">$B$4&amp;C95</f>
        <v>一般</v>
      </c>
      <c r="AA95" s="57" t="str">
        <f>IF(D95="","",C95&amp;D95)</f>
        <v/>
      </c>
      <c r="AB95" s="57">
        <f>IF(AA95="",1,AA95)</f>
        <v>1</v>
      </c>
      <c r="AC95" s="57">
        <f>IF(ISERROR(VLOOKUP(AB95,$AA$13:AA94,1,FALSE)),0,VLOOKUP(AB95,$AA$13:AA94,1,FALSE))</f>
        <v>0</v>
      </c>
      <c r="AD95" s="57" t="str">
        <f>IF(D95="","",C95&amp;D95&amp;E95)</f>
        <v/>
      </c>
      <c r="AE95" s="57">
        <f>IF(AD95="",1,AD95)</f>
        <v>1</v>
      </c>
      <c r="AF95" s="58">
        <f>IF(ISERROR(VLOOKUP(AE95,$AD$13:AD94,1,FALSE)),0,VLOOKUP(AE95,$AD$13:AD94,1,FALSE))</f>
        <v>0</v>
      </c>
      <c r="AG95" s="58">
        <f>IF(AB95=AC95,1,0)-AF96</f>
        <v>0</v>
      </c>
      <c r="AU95" s="46" t="str">
        <f>$B$4&amp;C97&amp;G97</f>
        <v>一般</v>
      </c>
      <c r="AV95" s="69" t="str">
        <f>$B$4&amp;C97&amp;H97</f>
        <v>一般</v>
      </c>
    </row>
    <row r="96" spans="1:48" ht="27" customHeight="1" x14ac:dyDescent="0.15">
      <c r="A96" s="59">
        <f>COUNTA(G95:I95,G97:I97,G99:I99,G101:I101,G103:I103,G105:I105,G107:I107,G109:I109,G111:I111,G113:I113)</f>
        <v>0</v>
      </c>
      <c r="B96" s="188"/>
      <c r="C96" s="189"/>
      <c r="D96" s="190"/>
      <c r="E96" s="56"/>
      <c r="F96" s="234"/>
      <c r="G96" s="160"/>
      <c r="H96" s="175"/>
      <c r="I96" s="164"/>
      <c r="J96" s="148"/>
      <c r="K96" s="73"/>
      <c r="L96" s="74"/>
      <c r="M96" s="75"/>
      <c r="N96" s="74"/>
      <c r="O96" s="75"/>
      <c r="P96" s="75"/>
      <c r="Q96" s="75"/>
      <c r="R96" s="74"/>
      <c r="S96" s="74"/>
      <c r="T96" s="74"/>
      <c r="U96" s="74"/>
      <c r="V96" s="74"/>
      <c r="W96" s="74"/>
      <c r="X96" s="74"/>
      <c r="Y96" s="75"/>
      <c r="Z96" s="61"/>
      <c r="AA96" s="61"/>
      <c r="AB96" s="61"/>
      <c r="AC96" s="61"/>
      <c r="AD96" s="61"/>
      <c r="AE96" s="61"/>
      <c r="AF96" s="58">
        <f>IF(AE95=AF95,1,0)</f>
        <v>0</v>
      </c>
      <c r="AG96" s="58"/>
      <c r="AU96" s="52"/>
      <c r="AV96" s="70"/>
    </row>
    <row r="97" spans="2:48" ht="27" customHeight="1" x14ac:dyDescent="0.15">
      <c r="B97" s="187">
        <f>IF(AG97&lt;1,42,"ﾅﾝﾊﾞｰｶｰﾄﾞが重複しています")</f>
        <v>42</v>
      </c>
      <c r="C97" s="189"/>
      <c r="D97" s="190"/>
      <c r="E97" s="56"/>
      <c r="F97" s="251"/>
      <c r="G97" s="135"/>
      <c r="H97" s="176"/>
      <c r="I97" s="165"/>
      <c r="J97" s="147" t="str">
        <f t="shared" ref="J97" si="103">IF(E97="","",IF(LEN(E97)-LEN(SUBSTITUTE(SUBSTITUTE(E97," ",),"　",))=1,"","氏名ｽﾍﾟｰｽ数"&amp;LEN(E97)-LEN(SUBSTITUTE(SUBSTITUTE(E97," ",),"　",))))</f>
        <v/>
      </c>
      <c r="K97" s="73"/>
      <c r="L97" s="75"/>
      <c r="M97" s="75"/>
      <c r="N97" s="75"/>
      <c r="O97" s="75"/>
      <c r="P97" s="75"/>
      <c r="Q97" s="74"/>
      <c r="R97" s="75"/>
      <c r="S97" s="75"/>
      <c r="T97" s="75"/>
      <c r="U97" s="75"/>
      <c r="V97" s="75"/>
      <c r="W97" s="75"/>
      <c r="X97" s="75"/>
      <c r="Y97" s="74"/>
      <c r="Z97" s="57" t="str">
        <f t="shared" ref="Z97" si="104">$B$4&amp;C97</f>
        <v>一般</v>
      </c>
      <c r="AA97" s="57" t="str">
        <f>IF(D97="","",C97&amp;D97)</f>
        <v/>
      </c>
      <c r="AB97" s="57">
        <f>IF(AA97="",1,AA97)</f>
        <v>1</v>
      </c>
      <c r="AC97" s="57">
        <f>IF(ISERROR(VLOOKUP(AB97,$AA$13:AA96,1,FALSE)),0,VLOOKUP(AB97,$AA$13:AA96,1,FALSE))</f>
        <v>0</v>
      </c>
      <c r="AD97" s="57" t="str">
        <f>IF(D97="","",C97&amp;D97&amp;E97)</f>
        <v/>
      </c>
      <c r="AE97" s="57">
        <f>IF(AD97="",1,AD97)</f>
        <v>1</v>
      </c>
      <c r="AF97" s="58">
        <f>IF(ISERROR(VLOOKUP(AE97,$AD$13:AD96,1,FALSE)),0,VLOOKUP(AE97,$AD$13:AD96,1,FALSE))</f>
        <v>0</v>
      </c>
      <c r="AG97" s="58">
        <f>IF(AB97=AC97,1,0)-AF98</f>
        <v>0</v>
      </c>
      <c r="AU97" s="46" t="str">
        <f>$B$4&amp;C99&amp;G99</f>
        <v>一般</v>
      </c>
      <c r="AV97" s="69" t="str">
        <f>$B$4&amp;C99&amp;H99</f>
        <v>一般</v>
      </c>
    </row>
    <row r="98" spans="2:48" ht="27" customHeight="1" x14ac:dyDescent="0.15">
      <c r="B98" s="188"/>
      <c r="C98" s="189"/>
      <c r="D98" s="190"/>
      <c r="E98" s="56"/>
      <c r="F98" s="234"/>
      <c r="G98" s="160"/>
      <c r="H98" s="175"/>
      <c r="I98" s="164"/>
      <c r="J98" s="148"/>
      <c r="K98" s="73"/>
      <c r="L98" s="74"/>
      <c r="M98" s="75"/>
      <c r="N98" s="74"/>
      <c r="O98" s="75"/>
      <c r="P98" s="75"/>
      <c r="Q98" s="75"/>
      <c r="R98" s="74"/>
      <c r="S98" s="74"/>
      <c r="T98" s="74"/>
      <c r="U98" s="74"/>
      <c r="V98" s="74"/>
      <c r="W98" s="74"/>
      <c r="X98" s="74"/>
      <c r="Y98" s="75"/>
      <c r="Z98" s="61"/>
      <c r="AA98" s="61"/>
      <c r="AB98" s="61"/>
      <c r="AC98" s="61"/>
      <c r="AD98" s="61"/>
      <c r="AE98" s="61"/>
      <c r="AF98" s="58">
        <f>IF(AE97=AF97,1,0)</f>
        <v>0</v>
      </c>
      <c r="AG98" s="58"/>
      <c r="AU98" s="52"/>
      <c r="AV98" s="70"/>
    </row>
    <row r="99" spans="2:48" ht="27" customHeight="1" x14ac:dyDescent="0.15">
      <c r="B99" s="187">
        <f>IF(AG99&lt;1,43,"ﾅﾝﾊﾞｰｶｰﾄﾞが重複しています")</f>
        <v>43</v>
      </c>
      <c r="C99" s="189"/>
      <c r="D99" s="190"/>
      <c r="E99" s="56"/>
      <c r="F99" s="251"/>
      <c r="G99" s="135"/>
      <c r="H99" s="176"/>
      <c r="I99" s="165"/>
      <c r="J99" s="147" t="str">
        <f t="shared" ref="J99" si="105">IF(E99="","",IF(LEN(E99)-LEN(SUBSTITUTE(SUBSTITUTE(E99," ",),"　",))=1,"","氏名ｽﾍﾟｰｽ数"&amp;LEN(E99)-LEN(SUBSTITUTE(SUBSTITUTE(E99," ",),"　",))))</f>
        <v/>
      </c>
      <c r="K99" s="73"/>
      <c r="L99" s="75"/>
      <c r="M99" s="75"/>
      <c r="N99" s="75"/>
      <c r="O99" s="75"/>
      <c r="P99" s="75"/>
      <c r="Q99" s="75"/>
      <c r="R99" s="74"/>
      <c r="S99" s="74"/>
      <c r="T99" s="74"/>
      <c r="U99" s="74"/>
      <c r="V99" s="74"/>
      <c r="W99" s="74"/>
      <c r="X99" s="74"/>
      <c r="Y99" s="75"/>
      <c r="Z99" s="57" t="str">
        <f t="shared" ref="Z99" si="106">$B$4&amp;C99</f>
        <v>一般</v>
      </c>
      <c r="AA99" s="57" t="str">
        <f>IF(D99="","",C99&amp;D99)</f>
        <v/>
      </c>
      <c r="AB99" s="57">
        <f>IF(AA99="",1,AA99)</f>
        <v>1</v>
      </c>
      <c r="AC99" s="57">
        <f>IF(ISERROR(VLOOKUP(AB99,$AA$13:AA98,1,FALSE)),0,VLOOKUP(AB99,$AA$13:AA98,1,FALSE))</f>
        <v>0</v>
      </c>
      <c r="AD99" s="57" t="str">
        <f>IF(D99="","",C99&amp;D99&amp;E99)</f>
        <v/>
      </c>
      <c r="AE99" s="57">
        <f>IF(AD99="",1,AD99)</f>
        <v>1</v>
      </c>
      <c r="AF99" s="58">
        <f>IF(ISERROR(VLOOKUP(AE99,$AD$13:AD98,1,FALSE)),0,VLOOKUP(AE99,$AD$13:AD98,1,FALSE))</f>
        <v>0</v>
      </c>
      <c r="AG99" s="58">
        <f>IF(AB99=AC99,1,0)-AF100</f>
        <v>0</v>
      </c>
      <c r="AU99" s="46" t="str">
        <f>$B$4&amp;C101&amp;G101</f>
        <v>一般</v>
      </c>
      <c r="AV99" s="69" t="str">
        <f>$B$4&amp;C101&amp;H101</f>
        <v>一般</v>
      </c>
    </row>
    <row r="100" spans="2:48" ht="27" customHeight="1" x14ac:dyDescent="0.15">
      <c r="B100" s="188"/>
      <c r="C100" s="189"/>
      <c r="D100" s="190"/>
      <c r="E100" s="56"/>
      <c r="F100" s="234"/>
      <c r="G100" s="160"/>
      <c r="H100" s="175"/>
      <c r="I100" s="164"/>
      <c r="J100" s="148"/>
      <c r="K100" s="73"/>
      <c r="L100" s="74"/>
      <c r="M100" s="75"/>
      <c r="N100" s="74"/>
      <c r="O100" s="75"/>
      <c r="P100" s="75"/>
      <c r="Q100" s="75"/>
      <c r="R100" s="75"/>
      <c r="S100" s="75"/>
      <c r="T100" s="75"/>
      <c r="U100" s="75"/>
      <c r="V100" s="75"/>
      <c r="W100" s="75"/>
      <c r="X100" s="75"/>
      <c r="Y100" s="75"/>
      <c r="Z100" s="61"/>
      <c r="AA100" s="61"/>
      <c r="AB100" s="61"/>
      <c r="AC100" s="61"/>
      <c r="AD100" s="61"/>
      <c r="AE100" s="61"/>
      <c r="AF100" s="58">
        <f>IF(AE99=AF99,1,0)</f>
        <v>0</v>
      </c>
      <c r="AG100" s="58"/>
      <c r="AU100" s="52"/>
      <c r="AV100" s="70"/>
    </row>
    <row r="101" spans="2:48" ht="27" customHeight="1" x14ac:dyDescent="0.15">
      <c r="B101" s="187">
        <f>IF(AG101&lt;1,44,"ﾅﾝﾊﾞｰｶｰﾄﾞが重複しています")</f>
        <v>44</v>
      </c>
      <c r="C101" s="189"/>
      <c r="D101" s="190"/>
      <c r="E101" s="56"/>
      <c r="F101" s="251"/>
      <c r="G101" s="135"/>
      <c r="H101" s="176"/>
      <c r="I101" s="165"/>
      <c r="J101" s="147" t="str">
        <f t="shared" ref="J101" si="107">IF(E101="","",IF(LEN(E101)-LEN(SUBSTITUTE(SUBSTITUTE(E101," ",),"　",))=1,"","氏名ｽﾍﾟｰｽ数"&amp;LEN(E101)-LEN(SUBSTITUTE(SUBSTITUTE(E101," ",),"　",))))</f>
        <v/>
      </c>
      <c r="K101" s="73"/>
      <c r="L101" s="75"/>
      <c r="M101" s="75"/>
      <c r="N101" s="75"/>
      <c r="O101" s="75"/>
      <c r="P101" s="75"/>
      <c r="Q101" s="75"/>
      <c r="R101" s="74"/>
      <c r="S101" s="74"/>
      <c r="T101" s="74"/>
      <c r="U101" s="74"/>
      <c r="V101" s="74"/>
      <c r="W101" s="74"/>
      <c r="X101" s="74"/>
      <c r="Y101" s="75"/>
      <c r="Z101" s="57" t="str">
        <f t="shared" ref="Z101" si="108">$B$4&amp;C101</f>
        <v>一般</v>
      </c>
      <c r="AA101" s="57" t="str">
        <f>IF(D101="","",C101&amp;D101)</f>
        <v/>
      </c>
      <c r="AB101" s="57">
        <f>IF(AA101="",1,AA101)</f>
        <v>1</v>
      </c>
      <c r="AC101" s="57">
        <f>IF(ISERROR(VLOOKUP(AB101,$AA$13:AA100,1,FALSE)),0,VLOOKUP(AB101,$AA$13:AA100,1,FALSE))</f>
        <v>0</v>
      </c>
      <c r="AD101" s="57" t="str">
        <f>IF(D101="","",C101&amp;D101&amp;E101)</f>
        <v/>
      </c>
      <c r="AE101" s="57">
        <f>IF(AD101="",1,AD101)</f>
        <v>1</v>
      </c>
      <c r="AF101" s="58">
        <f>IF(ISERROR(VLOOKUP(AE101,$AD$13:AD100,1,FALSE)),0,VLOOKUP(AE101,$AD$13:AD100,1,FALSE))</f>
        <v>0</v>
      </c>
      <c r="AG101" s="58">
        <f>IF(AB101=AC101,1,0)-AF102</f>
        <v>0</v>
      </c>
      <c r="AU101" s="46" t="str">
        <f>$B$4&amp;C103&amp;G103</f>
        <v>一般</v>
      </c>
      <c r="AV101" s="69" t="str">
        <f>$B$4&amp;C103&amp;H103</f>
        <v>一般</v>
      </c>
    </row>
    <row r="102" spans="2:48" ht="27" customHeight="1" x14ac:dyDescent="0.15">
      <c r="B102" s="188"/>
      <c r="C102" s="189"/>
      <c r="D102" s="190"/>
      <c r="E102" s="56"/>
      <c r="F102" s="234"/>
      <c r="G102" s="160"/>
      <c r="H102" s="175"/>
      <c r="I102" s="164"/>
      <c r="J102" s="148"/>
      <c r="K102" s="73"/>
      <c r="L102" s="75"/>
      <c r="M102" s="75"/>
      <c r="N102" s="75"/>
      <c r="O102" s="75"/>
      <c r="P102" s="75"/>
      <c r="Q102" s="75"/>
      <c r="R102" s="74"/>
      <c r="S102" s="74"/>
      <c r="T102" s="74"/>
      <c r="U102" s="74"/>
      <c r="V102" s="74"/>
      <c r="W102" s="74"/>
      <c r="X102" s="74"/>
      <c r="Y102" s="75"/>
      <c r="Z102" s="61"/>
      <c r="AA102" s="61"/>
      <c r="AB102" s="61"/>
      <c r="AC102" s="61"/>
      <c r="AD102" s="61"/>
      <c r="AE102" s="61"/>
      <c r="AF102" s="58">
        <f>IF(AE101=AF101,1,0)</f>
        <v>0</v>
      </c>
      <c r="AG102" s="58"/>
      <c r="AU102" s="52"/>
      <c r="AV102" s="70"/>
    </row>
    <row r="103" spans="2:48" ht="27" customHeight="1" x14ac:dyDescent="0.15">
      <c r="B103" s="187">
        <f>IF(AG103&lt;1,45,"ﾅﾝﾊﾞｰｶｰﾄﾞが重複しています")</f>
        <v>45</v>
      </c>
      <c r="C103" s="189"/>
      <c r="D103" s="190"/>
      <c r="E103" s="56"/>
      <c r="F103" s="251"/>
      <c r="G103" s="135"/>
      <c r="H103" s="176"/>
      <c r="I103" s="165"/>
      <c r="J103" s="147" t="str">
        <f t="shared" ref="J103" si="109">IF(E103="","",IF(LEN(E103)-LEN(SUBSTITUTE(SUBSTITUTE(E103," ",),"　",))=1,"","氏名ｽﾍﾟｰｽ数"&amp;LEN(E103)-LEN(SUBSTITUTE(SUBSTITUTE(E103," ",),"　",))))</f>
        <v/>
      </c>
      <c r="K103" s="73"/>
      <c r="L103" s="74"/>
      <c r="M103" s="75"/>
      <c r="N103" s="74"/>
      <c r="O103" s="75"/>
      <c r="P103" s="75"/>
      <c r="Q103" s="75"/>
      <c r="R103" s="75"/>
      <c r="S103" s="75"/>
      <c r="T103" s="75"/>
      <c r="U103" s="75"/>
      <c r="V103" s="75"/>
      <c r="W103" s="75"/>
      <c r="X103" s="75"/>
      <c r="Y103" s="75"/>
      <c r="Z103" s="57" t="str">
        <f t="shared" ref="Z103" si="110">$B$4&amp;C103</f>
        <v>一般</v>
      </c>
      <c r="AA103" s="57" t="str">
        <f>IF(D103="","",C103&amp;D103)</f>
        <v/>
      </c>
      <c r="AB103" s="57">
        <f>IF(AA103="",1,AA103)</f>
        <v>1</v>
      </c>
      <c r="AC103" s="57">
        <f>IF(ISERROR(VLOOKUP(AB103,$AA$13:AA102,1,FALSE)),0,VLOOKUP(AB103,$AA$13:AA102,1,FALSE))</f>
        <v>0</v>
      </c>
      <c r="AD103" s="57" t="str">
        <f>IF(D103="","",C103&amp;D103&amp;E103)</f>
        <v/>
      </c>
      <c r="AE103" s="57">
        <f>IF(AD103="",1,AD103)</f>
        <v>1</v>
      </c>
      <c r="AF103" s="58">
        <f>IF(ISERROR(VLOOKUP(AE103,$AD$13:AD102,1,FALSE)),0,VLOOKUP(AE103,$AD$13:AD102,1,FALSE))</f>
        <v>0</v>
      </c>
      <c r="AG103" s="58">
        <f>IF(AB103=AC103,1,0)-AF104</f>
        <v>0</v>
      </c>
      <c r="AU103" s="46" t="str">
        <f>$B$4&amp;C105&amp;G105</f>
        <v>一般</v>
      </c>
      <c r="AV103" s="69" t="str">
        <f>$B$4&amp;C105&amp;H105</f>
        <v>一般</v>
      </c>
    </row>
    <row r="104" spans="2:48" ht="27" customHeight="1" x14ac:dyDescent="0.15">
      <c r="B104" s="188"/>
      <c r="C104" s="189"/>
      <c r="D104" s="190"/>
      <c r="E104" s="56"/>
      <c r="F104" s="234"/>
      <c r="G104" s="160"/>
      <c r="H104" s="175"/>
      <c r="I104" s="164"/>
      <c r="J104" s="148"/>
      <c r="K104" s="73"/>
      <c r="L104" s="74"/>
      <c r="M104" s="75"/>
      <c r="N104" s="74"/>
      <c r="O104" s="75"/>
      <c r="P104" s="75"/>
      <c r="Q104" s="75"/>
      <c r="R104" s="75"/>
      <c r="S104" s="75"/>
      <c r="T104" s="75"/>
      <c r="U104" s="75"/>
      <c r="V104" s="75"/>
      <c r="W104" s="75"/>
      <c r="X104" s="75"/>
      <c r="Y104" s="75"/>
      <c r="Z104" s="61"/>
      <c r="AA104" s="61"/>
      <c r="AB104" s="61"/>
      <c r="AC104" s="61"/>
      <c r="AD104" s="61"/>
      <c r="AE104" s="61"/>
      <c r="AF104" s="58">
        <f>IF(AE103=AF103,1,0)</f>
        <v>0</v>
      </c>
      <c r="AG104" s="58"/>
      <c r="AU104" s="52"/>
      <c r="AV104" s="70"/>
    </row>
    <row r="105" spans="2:48" ht="27" customHeight="1" x14ac:dyDescent="0.15">
      <c r="B105" s="187">
        <f>IF(AG105&lt;1,46,"ﾅﾝﾊﾞｰｶｰﾄﾞが重複しています")</f>
        <v>46</v>
      </c>
      <c r="C105" s="189"/>
      <c r="D105" s="190"/>
      <c r="E105" s="56"/>
      <c r="F105" s="251"/>
      <c r="G105" s="135"/>
      <c r="H105" s="176"/>
      <c r="I105" s="165"/>
      <c r="J105" s="147" t="str">
        <f t="shared" ref="J105" si="111">IF(E105="","",IF(LEN(E105)-LEN(SUBSTITUTE(SUBSTITUTE(E105," ",),"　",))=1,"","氏名ｽﾍﾟｰｽ数"&amp;LEN(E105)-LEN(SUBSTITUTE(SUBSTITUTE(E105," ",),"　",))))</f>
        <v/>
      </c>
      <c r="K105" s="76"/>
      <c r="L105" s="74"/>
      <c r="M105" s="75"/>
      <c r="N105" s="74"/>
      <c r="O105" s="75"/>
      <c r="P105" s="75"/>
      <c r="Q105" s="75"/>
      <c r="R105" s="74"/>
      <c r="S105" s="74"/>
      <c r="T105" s="74"/>
      <c r="U105" s="74"/>
      <c r="V105" s="74"/>
      <c r="W105" s="74"/>
      <c r="X105" s="74"/>
      <c r="Y105" s="75"/>
      <c r="Z105" s="57" t="str">
        <f t="shared" ref="Z105" si="112">$B$4&amp;C105</f>
        <v>一般</v>
      </c>
      <c r="AA105" s="57" t="str">
        <f>IF(D105="","",C105&amp;D105)</f>
        <v/>
      </c>
      <c r="AB105" s="57">
        <f>IF(AA105="",1,AA105)</f>
        <v>1</v>
      </c>
      <c r="AC105" s="57">
        <f>IF(ISERROR(VLOOKUP(AB105,$AA$13:AA104,1,FALSE)),0,VLOOKUP(AB105,$AA$13:AA104,1,FALSE))</f>
        <v>0</v>
      </c>
      <c r="AD105" s="57" t="str">
        <f>IF(D105="","",C105&amp;D105&amp;E105)</f>
        <v/>
      </c>
      <c r="AE105" s="57">
        <f>IF(AD105="",1,AD105)</f>
        <v>1</v>
      </c>
      <c r="AF105" s="58">
        <f>IF(ISERROR(VLOOKUP(AE105,$AD$13:AD104,1,FALSE)),0,VLOOKUP(AE105,$AD$13:AD104,1,FALSE))</f>
        <v>0</v>
      </c>
      <c r="AG105" s="58">
        <f>IF(AB105=AC105,1,0)-AF106</f>
        <v>0</v>
      </c>
      <c r="AU105" s="46" t="str">
        <f>$B$4&amp;C107&amp;G107</f>
        <v>一般</v>
      </c>
      <c r="AV105" s="69" t="str">
        <f>$B$4&amp;C107&amp;H107</f>
        <v>一般</v>
      </c>
    </row>
    <row r="106" spans="2:48" ht="27" customHeight="1" x14ac:dyDescent="0.15">
      <c r="B106" s="188"/>
      <c r="C106" s="189"/>
      <c r="D106" s="190"/>
      <c r="E106" s="56"/>
      <c r="F106" s="234"/>
      <c r="G106" s="160"/>
      <c r="H106" s="175"/>
      <c r="I106" s="164"/>
      <c r="J106" s="148"/>
      <c r="K106" s="73"/>
      <c r="L106" s="74"/>
      <c r="M106" s="75"/>
      <c r="N106" s="74"/>
      <c r="O106" s="75"/>
      <c r="P106" s="75"/>
      <c r="Q106" s="75"/>
      <c r="R106" s="75"/>
      <c r="S106" s="75"/>
      <c r="T106" s="75"/>
      <c r="U106" s="75"/>
      <c r="V106" s="75"/>
      <c r="W106" s="75"/>
      <c r="X106" s="75"/>
      <c r="Y106" s="75"/>
      <c r="Z106" s="61"/>
      <c r="AA106" s="61"/>
      <c r="AB106" s="61"/>
      <c r="AC106" s="61"/>
      <c r="AD106" s="61"/>
      <c r="AE106" s="61"/>
      <c r="AF106" s="58">
        <f>IF(AE105=AF105,1,0)</f>
        <v>0</v>
      </c>
      <c r="AG106" s="58"/>
      <c r="AU106" s="52"/>
      <c r="AV106" s="70"/>
    </row>
    <row r="107" spans="2:48" ht="27" customHeight="1" x14ac:dyDescent="0.15">
      <c r="B107" s="187">
        <f>IF(AG107&lt;1,47,"ﾅﾝﾊﾞｰｶｰﾄﾞが重複しています")</f>
        <v>47</v>
      </c>
      <c r="C107" s="189"/>
      <c r="D107" s="190"/>
      <c r="E107" s="56"/>
      <c r="F107" s="251"/>
      <c r="G107" s="135"/>
      <c r="H107" s="176"/>
      <c r="I107" s="165"/>
      <c r="J107" s="147" t="str">
        <f t="shared" ref="J107" si="113">IF(E107="","",IF(LEN(E107)-LEN(SUBSTITUTE(SUBSTITUTE(E107," ",),"　",))=1,"","氏名ｽﾍﾟｰｽ数"&amp;LEN(E107)-LEN(SUBSTITUTE(SUBSTITUTE(E107," ",),"　",))))</f>
        <v/>
      </c>
      <c r="K107" s="73"/>
      <c r="L107" s="75"/>
      <c r="M107" s="75"/>
      <c r="N107" s="75"/>
      <c r="O107" s="75"/>
      <c r="P107" s="75"/>
      <c r="Q107" s="75"/>
      <c r="R107" s="74"/>
      <c r="S107" s="74"/>
      <c r="T107" s="74"/>
      <c r="U107" s="74"/>
      <c r="V107" s="74"/>
      <c r="W107" s="74"/>
      <c r="X107" s="74"/>
      <c r="Y107" s="75"/>
      <c r="Z107" s="57" t="str">
        <f t="shared" ref="Z107" si="114">$B$4&amp;C107</f>
        <v>一般</v>
      </c>
      <c r="AA107" s="57" t="str">
        <f>IF(D107="","",C107&amp;D107)</f>
        <v/>
      </c>
      <c r="AB107" s="57">
        <f>IF(AA107="",1,AA107)</f>
        <v>1</v>
      </c>
      <c r="AC107" s="57">
        <f>IF(ISERROR(VLOOKUP(AB107,$AA$13:AA106,1,FALSE)),0,VLOOKUP(AB107,$AA$13:AA106,1,FALSE))</f>
        <v>0</v>
      </c>
      <c r="AD107" s="57" t="str">
        <f>IF(D107="","",C107&amp;D107&amp;E107)</f>
        <v/>
      </c>
      <c r="AE107" s="57">
        <f>IF(AD107="",1,AD107)</f>
        <v>1</v>
      </c>
      <c r="AF107" s="58">
        <f>IF(ISERROR(VLOOKUP(AE107,$AD$13:AD106,1,FALSE)),0,VLOOKUP(AE107,$AD$13:AD106,1,FALSE))</f>
        <v>0</v>
      </c>
      <c r="AG107" s="58">
        <f>IF(AB107=AC107,1,0)-AF108</f>
        <v>0</v>
      </c>
      <c r="AU107" s="46" t="str">
        <f>$B$4&amp;C109&amp;G109</f>
        <v>一般</v>
      </c>
      <c r="AV107" s="69" t="str">
        <f>$B$4&amp;C109&amp;H109</f>
        <v>一般</v>
      </c>
    </row>
    <row r="108" spans="2:48" ht="27" customHeight="1" x14ac:dyDescent="0.15">
      <c r="B108" s="188"/>
      <c r="C108" s="189"/>
      <c r="D108" s="190"/>
      <c r="E108" s="56"/>
      <c r="F108" s="234"/>
      <c r="G108" s="160"/>
      <c r="H108" s="175"/>
      <c r="I108" s="164"/>
      <c r="J108" s="148"/>
      <c r="K108" s="73"/>
      <c r="L108" s="74"/>
      <c r="M108" s="75"/>
      <c r="N108" s="74"/>
      <c r="O108" s="75"/>
      <c r="P108" s="75"/>
      <c r="Q108" s="75"/>
      <c r="R108" s="75"/>
      <c r="S108" s="75"/>
      <c r="T108" s="75"/>
      <c r="U108" s="75"/>
      <c r="V108" s="75"/>
      <c r="W108" s="75"/>
      <c r="X108" s="75"/>
      <c r="Y108" s="75"/>
      <c r="Z108" s="61"/>
      <c r="AA108" s="61"/>
      <c r="AB108" s="61"/>
      <c r="AC108" s="61"/>
      <c r="AD108" s="61"/>
      <c r="AE108" s="61"/>
      <c r="AF108" s="58">
        <f>IF(AE107=AF107,1,0)</f>
        <v>0</v>
      </c>
      <c r="AG108" s="58"/>
      <c r="AU108" s="52"/>
      <c r="AV108" s="70"/>
    </row>
    <row r="109" spans="2:48" ht="27" customHeight="1" x14ac:dyDescent="0.15">
      <c r="B109" s="187">
        <f>IF(AG109&lt;1,48,"ﾅﾝﾊﾞｰｶｰﾄﾞが重複しています")</f>
        <v>48</v>
      </c>
      <c r="C109" s="189"/>
      <c r="D109" s="190"/>
      <c r="E109" s="56"/>
      <c r="F109" s="251"/>
      <c r="G109" s="135"/>
      <c r="H109" s="176"/>
      <c r="I109" s="165"/>
      <c r="J109" s="147" t="str">
        <f t="shared" ref="J109" si="115">IF(E109="","",IF(LEN(E109)-LEN(SUBSTITUTE(SUBSTITUTE(E109," ",),"　",))=1,"","氏名ｽﾍﾟｰｽ数"&amp;LEN(E109)-LEN(SUBSTITUTE(SUBSTITUTE(E109," ",),"　",))))</f>
        <v/>
      </c>
      <c r="K109" s="73"/>
      <c r="L109" s="74"/>
      <c r="M109" s="75"/>
      <c r="N109" s="74"/>
      <c r="O109" s="75"/>
      <c r="P109" s="75"/>
      <c r="Q109" s="74"/>
      <c r="R109" s="74"/>
      <c r="S109" s="74"/>
      <c r="T109" s="74"/>
      <c r="U109" s="74"/>
      <c r="V109" s="74"/>
      <c r="W109" s="74"/>
      <c r="X109" s="74"/>
      <c r="Y109" s="75"/>
      <c r="Z109" s="57" t="str">
        <f t="shared" ref="Z109" si="116">$B$4&amp;C109</f>
        <v>一般</v>
      </c>
      <c r="AA109" s="57" t="str">
        <f>IF(D109="","",C109&amp;D109)</f>
        <v/>
      </c>
      <c r="AB109" s="57">
        <f>IF(AA109="",1,AA109)</f>
        <v>1</v>
      </c>
      <c r="AC109" s="57">
        <f>IF(ISERROR(VLOOKUP(AB109,$AA$13:AA108,1,FALSE)),0,VLOOKUP(AB109,$AA$13:AA108,1,FALSE))</f>
        <v>0</v>
      </c>
      <c r="AD109" s="57" t="str">
        <f>IF(D109="","",C109&amp;D109&amp;E109)</f>
        <v/>
      </c>
      <c r="AE109" s="57">
        <f>IF(AD109="",1,AD109)</f>
        <v>1</v>
      </c>
      <c r="AF109" s="58">
        <f>IF(ISERROR(VLOOKUP(AE109,$AD$13:AD108,1,FALSE)),0,VLOOKUP(AE109,$AD$13:AD108,1,FALSE))</f>
        <v>0</v>
      </c>
      <c r="AG109" s="58">
        <f>IF(AB109=AC109,1,0)-AF110</f>
        <v>0</v>
      </c>
      <c r="AU109" s="46" t="str">
        <f>$B$4&amp;C111&amp;G111</f>
        <v>一般</v>
      </c>
      <c r="AV109" s="69" t="str">
        <f>$B$4&amp;C111&amp;H111</f>
        <v>一般</v>
      </c>
    </row>
    <row r="110" spans="2:48" ht="27" customHeight="1" x14ac:dyDescent="0.15">
      <c r="B110" s="188"/>
      <c r="C110" s="189"/>
      <c r="D110" s="190"/>
      <c r="E110" s="56"/>
      <c r="F110" s="234"/>
      <c r="G110" s="160"/>
      <c r="H110" s="175"/>
      <c r="I110" s="164"/>
      <c r="J110" s="148"/>
      <c r="K110" s="73"/>
      <c r="L110" s="74"/>
      <c r="M110" s="75"/>
      <c r="N110" s="74"/>
      <c r="O110" s="75"/>
      <c r="P110" s="75"/>
      <c r="Q110" s="75"/>
      <c r="R110" s="74"/>
      <c r="S110" s="74"/>
      <c r="T110" s="74"/>
      <c r="U110" s="74"/>
      <c r="V110" s="74"/>
      <c r="W110" s="74"/>
      <c r="X110" s="74"/>
      <c r="Y110" s="75"/>
      <c r="Z110" s="61"/>
      <c r="AA110" s="61"/>
      <c r="AB110" s="61"/>
      <c r="AC110" s="61"/>
      <c r="AD110" s="61"/>
      <c r="AE110" s="61"/>
      <c r="AF110" s="58">
        <f>IF(AE109=AF109,1,0)</f>
        <v>0</v>
      </c>
      <c r="AG110" s="58"/>
      <c r="AU110" s="52"/>
      <c r="AV110" s="70"/>
    </row>
    <row r="111" spans="2:48" ht="27" customHeight="1" x14ac:dyDescent="0.15">
      <c r="B111" s="187">
        <f>IF(AG111&lt;1,49,"ﾅﾝﾊﾞｰｶｰﾄﾞが重複しています")</f>
        <v>49</v>
      </c>
      <c r="C111" s="189"/>
      <c r="D111" s="190"/>
      <c r="E111" s="56"/>
      <c r="F111" s="251"/>
      <c r="G111" s="135"/>
      <c r="H111" s="176"/>
      <c r="I111" s="165"/>
      <c r="J111" s="147" t="str">
        <f t="shared" ref="J111" si="117">IF(E111="","",IF(LEN(E111)-LEN(SUBSTITUTE(SUBSTITUTE(E111," ",),"　",))=1,"","氏名ｽﾍﾟｰｽ数"&amp;LEN(E111)-LEN(SUBSTITUTE(SUBSTITUTE(E111," ",),"　",))))</f>
        <v/>
      </c>
      <c r="K111" s="73"/>
      <c r="L111" s="74"/>
      <c r="M111" s="75"/>
      <c r="N111" s="74"/>
      <c r="O111" s="75"/>
      <c r="P111" s="75"/>
      <c r="Q111" s="75"/>
      <c r="R111" s="74"/>
      <c r="S111" s="74"/>
      <c r="T111" s="74"/>
      <c r="U111" s="74"/>
      <c r="V111" s="74"/>
      <c r="W111" s="74"/>
      <c r="X111" s="74"/>
      <c r="Y111" s="75"/>
      <c r="Z111" s="57" t="str">
        <f t="shared" ref="Z111" si="118">$B$4&amp;C111</f>
        <v>一般</v>
      </c>
      <c r="AA111" s="57" t="str">
        <f>IF(D111="","",C111&amp;D111)</f>
        <v/>
      </c>
      <c r="AB111" s="57">
        <f>IF(AA111="",1,AA111)</f>
        <v>1</v>
      </c>
      <c r="AC111" s="57">
        <f>IF(ISERROR(VLOOKUP(AB111,$AA$13:AA110,1,FALSE)),0,VLOOKUP(AB111,$AA$13:AA110,1,FALSE))</f>
        <v>0</v>
      </c>
      <c r="AD111" s="57" t="str">
        <f>IF(D111="","",C111&amp;D111&amp;E111)</f>
        <v/>
      </c>
      <c r="AE111" s="57">
        <f>IF(AD111="",1,AD111)</f>
        <v>1</v>
      </c>
      <c r="AF111" s="58">
        <f>IF(ISERROR(VLOOKUP(AE111,$AD$13:AD110,1,FALSE)),0,VLOOKUP(AE111,$AD$13:AD110,1,FALSE))</f>
        <v>0</v>
      </c>
      <c r="AG111" s="58">
        <f>IF(AB111=AC111,1,0)-AF112</f>
        <v>0</v>
      </c>
      <c r="AU111" s="46" t="str">
        <f>$B$4&amp;C113&amp;G113</f>
        <v>一般</v>
      </c>
      <c r="AV111" s="69" t="str">
        <f>$B$4&amp;C113&amp;H113</f>
        <v>一般</v>
      </c>
    </row>
    <row r="112" spans="2:48" ht="27" customHeight="1" x14ac:dyDescent="0.15">
      <c r="B112" s="188"/>
      <c r="C112" s="189"/>
      <c r="D112" s="190"/>
      <c r="E112" s="56"/>
      <c r="F112" s="234"/>
      <c r="G112" s="160"/>
      <c r="H112" s="175"/>
      <c r="I112" s="164"/>
      <c r="J112" s="148"/>
      <c r="K112" s="73"/>
      <c r="L112" s="74"/>
      <c r="M112" s="75"/>
      <c r="N112" s="74"/>
      <c r="O112" s="75"/>
      <c r="P112" s="75"/>
      <c r="Q112" s="75"/>
      <c r="R112" s="74"/>
      <c r="S112" s="74"/>
      <c r="T112" s="74"/>
      <c r="U112" s="74"/>
      <c r="V112" s="74"/>
      <c r="W112" s="74"/>
      <c r="X112" s="74"/>
      <c r="Y112" s="75"/>
      <c r="Z112" s="61"/>
      <c r="AA112" s="61"/>
      <c r="AB112" s="61"/>
      <c r="AC112" s="61"/>
      <c r="AD112" s="61"/>
      <c r="AE112" s="61"/>
      <c r="AF112" s="58">
        <f>IF(AE111=AF111,1,0)</f>
        <v>0</v>
      </c>
      <c r="AG112" s="58"/>
      <c r="AU112" s="52"/>
      <c r="AV112" s="70"/>
    </row>
    <row r="113" spans="2:68" ht="27" customHeight="1" thickBot="1" x14ac:dyDescent="0.2">
      <c r="B113" s="194">
        <f>IF(AG113&lt;1,50,"ﾅﾝﾊﾞｰｶｰﾄﾞが重複しています")</f>
        <v>50</v>
      </c>
      <c r="C113" s="189"/>
      <c r="D113" s="190"/>
      <c r="E113" s="56"/>
      <c r="F113" s="251"/>
      <c r="G113" s="135"/>
      <c r="H113" s="176"/>
      <c r="I113" s="165"/>
      <c r="J113" s="147" t="str">
        <f t="shared" ref="J113" si="119">IF(E113="","",IF(LEN(E113)-LEN(SUBSTITUTE(SUBSTITUTE(E113," ",),"　",))=1,"","氏名ｽﾍﾟｰｽ数"&amp;LEN(E113)-LEN(SUBSTITUTE(SUBSTITUTE(E113," ",),"　",))))</f>
        <v/>
      </c>
      <c r="K113" s="73"/>
      <c r="L113" s="74"/>
      <c r="M113" s="74"/>
      <c r="N113" s="74"/>
      <c r="O113" s="74"/>
      <c r="P113" s="74"/>
      <c r="Q113" s="75"/>
      <c r="R113" s="74"/>
      <c r="S113" s="74"/>
      <c r="T113" s="74"/>
      <c r="U113" s="74"/>
      <c r="V113" s="74"/>
      <c r="W113" s="74"/>
      <c r="X113" s="74"/>
      <c r="Y113" s="75"/>
      <c r="Z113" s="57" t="str">
        <f t="shared" ref="Z113" si="120">$B$4&amp;C113</f>
        <v>一般</v>
      </c>
      <c r="AA113" s="57" t="str">
        <f>IF(D113="","",C113&amp;D113)</f>
        <v/>
      </c>
      <c r="AB113" s="57">
        <f>IF(AA113="",1,AA113)</f>
        <v>1</v>
      </c>
      <c r="AC113" s="57">
        <f>IF(ISERROR(VLOOKUP(AB113,$AA$13:AA112,1,FALSE)),0,VLOOKUP(AB113,$AA$13:AA112,1,FALSE))</f>
        <v>0</v>
      </c>
      <c r="AD113" s="57" t="str">
        <f>IF(D113="","",C113&amp;D113&amp;E113)</f>
        <v/>
      </c>
      <c r="AE113" s="57">
        <f>IF(AD113="",1,AD113)</f>
        <v>1</v>
      </c>
      <c r="AF113" s="58">
        <f>IF(ISERROR(VLOOKUP(AE113,$AD$13:AD112,1,FALSE)),0,VLOOKUP(AE113,$AD$13:AD112,1,FALSE))</f>
        <v>0</v>
      </c>
      <c r="AG113" s="58">
        <f>IF(AB113=AC113,1,0)-AF114</f>
        <v>0</v>
      </c>
      <c r="AU113" s="46" t="str">
        <f>$B$4&amp;C115&amp;G115</f>
        <v>一般</v>
      </c>
      <c r="AV113" s="69" t="str">
        <f>$B$4&amp;C115&amp;H115</f>
        <v>一般</v>
      </c>
    </row>
    <row r="114" spans="2:68" ht="27" customHeight="1" thickBot="1" x14ac:dyDescent="0.2">
      <c r="B114" s="195"/>
      <c r="C114" s="196"/>
      <c r="D114" s="197"/>
      <c r="E114" s="71"/>
      <c r="F114" s="252"/>
      <c r="G114" s="161"/>
      <c r="H114" s="177"/>
      <c r="I114" s="166"/>
      <c r="J114" s="148"/>
      <c r="K114" s="73"/>
      <c r="L114" s="74"/>
      <c r="M114" s="74"/>
      <c r="N114" s="74"/>
      <c r="O114" s="74"/>
      <c r="P114" s="74"/>
      <c r="Q114" s="75"/>
      <c r="R114" s="74"/>
      <c r="S114" s="74"/>
      <c r="T114" s="74"/>
      <c r="U114" s="74"/>
      <c r="V114" s="74"/>
      <c r="W114" s="74"/>
      <c r="X114" s="74"/>
      <c r="Y114" s="75"/>
      <c r="Z114" s="61"/>
      <c r="AA114" s="61"/>
      <c r="AB114" s="61"/>
      <c r="AC114" s="61"/>
      <c r="AD114" s="61"/>
      <c r="AE114" s="61"/>
      <c r="AF114" s="58">
        <f>IF(AE113=AF113,1,0)</f>
        <v>0</v>
      </c>
      <c r="AG114" s="58"/>
      <c r="AU114" s="52"/>
      <c r="AV114" s="70"/>
    </row>
    <row r="115" spans="2:68" ht="20.25" customHeight="1" x14ac:dyDescent="0.15"/>
    <row r="116" spans="2:68" ht="20.25" customHeight="1" x14ac:dyDescent="0.15"/>
    <row r="117" spans="2:68" ht="20.25" customHeight="1" x14ac:dyDescent="0.15"/>
    <row r="122" spans="2:68" x14ac:dyDescent="0.15">
      <c r="BP122" s="27"/>
    </row>
    <row r="123" spans="2:68" x14ac:dyDescent="0.15">
      <c r="BP123" s="27"/>
    </row>
    <row r="124" spans="2:68" x14ac:dyDescent="0.15">
      <c r="BP124" s="27"/>
    </row>
    <row r="125" spans="2:68" x14ac:dyDescent="0.15">
      <c r="BP125" s="27"/>
    </row>
    <row r="126" spans="2:68" x14ac:dyDescent="0.15">
      <c r="BP126" s="27"/>
    </row>
    <row r="127" spans="2:68" x14ac:dyDescent="0.15">
      <c r="BP127" s="27"/>
    </row>
    <row r="128" spans="2:68" x14ac:dyDescent="0.15">
      <c r="BP128" s="27"/>
    </row>
    <row r="129" spans="68:68" x14ac:dyDescent="0.15">
      <c r="BP129" s="27"/>
    </row>
    <row r="130" spans="68:68" x14ac:dyDescent="0.15">
      <c r="BP130" s="27"/>
    </row>
    <row r="131" spans="68:68" x14ac:dyDescent="0.15">
      <c r="BP131" s="27"/>
    </row>
    <row r="132" spans="68:68" x14ac:dyDescent="0.15">
      <c r="BP132" s="27"/>
    </row>
    <row r="133" spans="68:68" x14ac:dyDescent="0.15">
      <c r="BP133" s="27"/>
    </row>
    <row r="134" spans="68:68" x14ac:dyDescent="0.15">
      <c r="BP134" s="27"/>
    </row>
    <row r="135" spans="68:68" x14ac:dyDescent="0.15">
      <c r="BP135" s="27"/>
    </row>
    <row r="136" spans="68:68" x14ac:dyDescent="0.15">
      <c r="BP136" s="27"/>
    </row>
    <row r="137" spans="68:68" x14ac:dyDescent="0.15">
      <c r="BP137" s="27"/>
    </row>
    <row r="138" spans="68:68" x14ac:dyDescent="0.15">
      <c r="BP138" s="27"/>
    </row>
    <row r="139" spans="68:68" x14ac:dyDescent="0.15">
      <c r="BP139" s="27"/>
    </row>
    <row r="140" spans="68:68" x14ac:dyDescent="0.15">
      <c r="BP140" s="27"/>
    </row>
    <row r="141" spans="68:68" x14ac:dyDescent="0.15">
      <c r="BP141" s="27"/>
    </row>
    <row r="142" spans="68:68" x14ac:dyDescent="0.15">
      <c r="BP142" s="27"/>
    </row>
    <row r="143" spans="68:68" x14ac:dyDescent="0.15">
      <c r="BP143" s="27"/>
    </row>
    <row r="144" spans="68:68" x14ac:dyDescent="0.15">
      <c r="BP144" s="27"/>
    </row>
    <row r="145" spans="68:69" x14ac:dyDescent="0.15">
      <c r="BP145" s="27"/>
    </row>
    <row r="146" spans="68:69" x14ac:dyDescent="0.15">
      <c r="BP146" s="27"/>
    </row>
    <row r="147" spans="68:69" x14ac:dyDescent="0.15">
      <c r="BP147" s="27"/>
    </row>
    <row r="148" spans="68:69" x14ac:dyDescent="0.15">
      <c r="BP148" s="27"/>
    </row>
    <row r="149" spans="68:69" x14ac:dyDescent="0.15">
      <c r="BP149" s="27"/>
    </row>
    <row r="150" spans="68:69" x14ac:dyDescent="0.15">
      <c r="BP150" s="27"/>
    </row>
    <row r="151" spans="68:69" x14ac:dyDescent="0.15">
      <c r="BP151" s="27"/>
      <c r="BQ151" s="27"/>
    </row>
    <row r="152" spans="68:69" x14ac:dyDescent="0.15">
      <c r="BP152" s="27"/>
      <c r="BQ152" s="27"/>
    </row>
    <row r="153" spans="68:69" x14ac:dyDescent="0.15">
      <c r="BP153" s="27"/>
      <c r="BQ153" s="27"/>
    </row>
    <row r="154" spans="68:69" x14ac:dyDescent="0.15">
      <c r="BP154" s="27"/>
      <c r="BQ154" s="27"/>
    </row>
    <row r="155" spans="68:69" x14ac:dyDescent="0.15">
      <c r="BP155" s="27"/>
      <c r="BQ155" s="27"/>
    </row>
  </sheetData>
  <sheetProtection selectLockedCells="1"/>
  <mergeCells count="228">
    <mergeCell ref="F113:F114"/>
    <mergeCell ref="F101:F102"/>
    <mergeCell ref="F103:F104"/>
    <mergeCell ref="F105:F106"/>
    <mergeCell ref="F107:F108"/>
    <mergeCell ref="F109:F110"/>
    <mergeCell ref="F111:F112"/>
    <mergeCell ref="F99:F100"/>
    <mergeCell ref="F77:F78"/>
    <mergeCell ref="F79:F80"/>
    <mergeCell ref="F81:F82"/>
    <mergeCell ref="F83:F84"/>
    <mergeCell ref="F85:F86"/>
    <mergeCell ref="F87:F88"/>
    <mergeCell ref="F97:F98"/>
    <mergeCell ref="F71:F72"/>
    <mergeCell ref="F73:F74"/>
    <mergeCell ref="F75:F76"/>
    <mergeCell ref="F93:F94"/>
    <mergeCell ref="F95:F96"/>
    <mergeCell ref="F89:F90"/>
    <mergeCell ref="F91:F92"/>
    <mergeCell ref="F65:F66"/>
    <mergeCell ref="F67:F68"/>
    <mergeCell ref="F69:F70"/>
    <mergeCell ref="F57:F58"/>
    <mergeCell ref="F59:F60"/>
    <mergeCell ref="F61:F62"/>
    <mergeCell ref="F63:F64"/>
    <mergeCell ref="F49:F50"/>
    <mergeCell ref="F51:F52"/>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53:F54"/>
    <mergeCell ref="F55:F56"/>
    <mergeCell ref="B25:B26"/>
    <mergeCell ref="C25:C26"/>
    <mergeCell ref="D25:D26"/>
    <mergeCell ref="B27:B28"/>
    <mergeCell ref="B3:C3"/>
    <mergeCell ref="F15:F16"/>
    <mergeCell ref="F11:F12"/>
    <mergeCell ref="F13:F14"/>
    <mergeCell ref="B15:B16"/>
    <mergeCell ref="F4:G4"/>
    <mergeCell ref="B5:B6"/>
    <mergeCell ref="B4:C4"/>
    <mergeCell ref="D4:E4"/>
    <mergeCell ref="B13:B14"/>
    <mergeCell ref="B11:B12"/>
    <mergeCell ref="C11:C12"/>
    <mergeCell ref="D11:D12"/>
    <mergeCell ref="C27:C28"/>
    <mergeCell ref="D27:D28"/>
    <mergeCell ref="B21:B22"/>
    <mergeCell ref="C21:C22"/>
    <mergeCell ref="D21:D22"/>
    <mergeCell ref="B23:B24"/>
    <mergeCell ref="C23:C24"/>
    <mergeCell ref="H4:I4"/>
    <mergeCell ref="G12:I12"/>
    <mergeCell ref="G5:I5"/>
    <mergeCell ref="D6:I6"/>
    <mergeCell ref="D5:E5"/>
    <mergeCell ref="G1:I1"/>
    <mergeCell ref="B8:C8"/>
    <mergeCell ref="B1:F1"/>
    <mergeCell ref="D3:E3"/>
    <mergeCell ref="F3:G3"/>
    <mergeCell ref="H3:I3"/>
    <mergeCell ref="G11:I11"/>
    <mergeCell ref="B7:D7"/>
    <mergeCell ref="E7:I7"/>
    <mergeCell ref="D23:D24"/>
    <mergeCell ref="C13:C14"/>
    <mergeCell ref="D13:D14"/>
    <mergeCell ref="B17:B18"/>
    <mergeCell ref="C17:C18"/>
    <mergeCell ref="D17:D18"/>
    <mergeCell ref="B19:B20"/>
    <mergeCell ref="C19:C20"/>
    <mergeCell ref="D19:D20"/>
    <mergeCell ref="D15:D16"/>
    <mergeCell ref="C15:C16"/>
    <mergeCell ref="B29:B30"/>
    <mergeCell ref="C29:C30"/>
    <mergeCell ref="D29:D30"/>
    <mergeCell ref="B35:B36"/>
    <mergeCell ref="C35:C36"/>
    <mergeCell ref="D35:D36"/>
    <mergeCell ref="B31:B32"/>
    <mergeCell ref="C31:C32"/>
    <mergeCell ref="D31:D32"/>
    <mergeCell ref="B33:B34"/>
    <mergeCell ref="C33:C34"/>
    <mergeCell ref="D33:D34"/>
    <mergeCell ref="B43:B44"/>
    <mergeCell ref="C43:C44"/>
    <mergeCell ref="D43:D44"/>
    <mergeCell ref="B45:B46"/>
    <mergeCell ref="C45:C46"/>
    <mergeCell ref="D45:D46"/>
    <mergeCell ref="B47:B48"/>
    <mergeCell ref="C47:C48"/>
    <mergeCell ref="D47:D48"/>
    <mergeCell ref="B37:B38"/>
    <mergeCell ref="C37:C38"/>
    <mergeCell ref="D37:D38"/>
    <mergeCell ref="B39:B40"/>
    <mergeCell ref="C39:C40"/>
    <mergeCell ref="D39:D40"/>
    <mergeCell ref="B41:B42"/>
    <mergeCell ref="C41:C42"/>
    <mergeCell ref="D41:D42"/>
    <mergeCell ref="C49:C50"/>
    <mergeCell ref="D49:D50"/>
    <mergeCell ref="B53:B54"/>
    <mergeCell ref="C53:C54"/>
    <mergeCell ref="D53:D54"/>
    <mergeCell ref="B63:B64"/>
    <mergeCell ref="C63:C64"/>
    <mergeCell ref="D63:D64"/>
    <mergeCell ref="B55:B56"/>
    <mergeCell ref="C55:C56"/>
    <mergeCell ref="D55:D56"/>
    <mergeCell ref="B57:B58"/>
    <mergeCell ref="C57:C58"/>
    <mergeCell ref="D57:D58"/>
    <mergeCell ref="B51:B52"/>
    <mergeCell ref="C51:C52"/>
    <mergeCell ref="D51:D52"/>
    <mergeCell ref="B49:B50"/>
    <mergeCell ref="B73:B74"/>
    <mergeCell ref="C73:C74"/>
    <mergeCell ref="D73:D74"/>
    <mergeCell ref="B65:B66"/>
    <mergeCell ref="C65:C66"/>
    <mergeCell ref="D65:D66"/>
    <mergeCell ref="B59:B60"/>
    <mergeCell ref="C59:C60"/>
    <mergeCell ref="D59:D60"/>
    <mergeCell ref="B61:B62"/>
    <mergeCell ref="C61:C62"/>
    <mergeCell ref="D61:D62"/>
    <mergeCell ref="B67:B68"/>
    <mergeCell ref="C67:C68"/>
    <mergeCell ref="D67:D68"/>
    <mergeCell ref="B69:B70"/>
    <mergeCell ref="C69:C70"/>
    <mergeCell ref="D69:D70"/>
    <mergeCell ref="B71:B72"/>
    <mergeCell ref="C71:C72"/>
    <mergeCell ref="D71:D72"/>
    <mergeCell ref="D85:D86"/>
    <mergeCell ref="B87:B88"/>
    <mergeCell ref="C87:C88"/>
    <mergeCell ref="D87:D88"/>
    <mergeCell ref="B89:B90"/>
    <mergeCell ref="C89:C90"/>
    <mergeCell ref="D89:D90"/>
    <mergeCell ref="B75:B76"/>
    <mergeCell ref="C75:C76"/>
    <mergeCell ref="D75:D76"/>
    <mergeCell ref="B77:B78"/>
    <mergeCell ref="C77:C78"/>
    <mergeCell ref="D77:D78"/>
    <mergeCell ref="B79:B80"/>
    <mergeCell ref="C79:C80"/>
    <mergeCell ref="D79:D80"/>
    <mergeCell ref="B81:B82"/>
    <mergeCell ref="C81:C82"/>
    <mergeCell ref="D81:D82"/>
    <mergeCell ref="B113:B114"/>
    <mergeCell ref="C113:C114"/>
    <mergeCell ref="D113:D114"/>
    <mergeCell ref="B109:B110"/>
    <mergeCell ref="C109:C110"/>
    <mergeCell ref="D109:D110"/>
    <mergeCell ref="B111:B112"/>
    <mergeCell ref="C111:C112"/>
    <mergeCell ref="D111:D112"/>
    <mergeCell ref="B103:B104"/>
    <mergeCell ref="C103:C104"/>
    <mergeCell ref="D103:D104"/>
    <mergeCell ref="B105:B106"/>
    <mergeCell ref="C105:C106"/>
    <mergeCell ref="D105:D106"/>
    <mergeCell ref="B107:B108"/>
    <mergeCell ref="C107:C108"/>
    <mergeCell ref="D107:D108"/>
    <mergeCell ref="K3:Q6"/>
    <mergeCell ref="B101:B102"/>
    <mergeCell ref="C101:C102"/>
    <mergeCell ref="D101:D102"/>
    <mergeCell ref="C99:C100"/>
    <mergeCell ref="D99:D100"/>
    <mergeCell ref="B95:B96"/>
    <mergeCell ref="C95:C96"/>
    <mergeCell ref="D95:D96"/>
    <mergeCell ref="B97:B98"/>
    <mergeCell ref="B91:B92"/>
    <mergeCell ref="C91:C92"/>
    <mergeCell ref="D91:D92"/>
    <mergeCell ref="B93:B94"/>
    <mergeCell ref="C93:C94"/>
    <mergeCell ref="D93:D94"/>
    <mergeCell ref="D97:D98"/>
    <mergeCell ref="B99:B100"/>
    <mergeCell ref="C97:C98"/>
    <mergeCell ref="B83:B84"/>
    <mergeCell ref="C83:C84"/>
    <mergeCell ref="D83:D84"/>
    <mergeCell ref="B85:B86"/>
    <mergeCell ref="C85:C86"/>
  </mergeCells>
  <phoneticPr fontId="2"/>
  <conditionalFormatting sqref="B15:B114">
    <cfRule type="expression" dxfId="174" priority="663" stopIfTrue="1">
      <formula>AG15=1</formula>
    </cfRule>
  </conditionalFormatting>
  <conditionalFormatting sqref="B4:C4">
    <cfRule type="expression" dxfId="173" priority="660" stopIfTrue="1">
      <formula>AND($F$4&gt;1,$B$4="")</formula>
    </cfRule>
  </conditionalFormatting>
  <conditionalFormatting sqref="C15:C114">
    <cfRule type="expression" dxfId="172" priority="662" stopIfTrue="1">
      <formula>NOT(ISERROR(SEARCH("男",$C15)))</formula>
    </cfRule>
    <cfRule type="expression" dxfId="171" priority="661" stopIfTrue="1">
      <formula>NOT(ISERROR(SEARCH("女",$C15)))</formula>
    </cfRule>
  </conditionalFormatting>
  <conditionalFormatting sqref="D15:D114">
    <cfRule type="expression" dxfId="170" priority="63" stopIfTrue="1">
      <formula>$B$4="小学"</formula>
    </cfRule>
    <cfRule type="expression" dxfId="169" priority="64" stopIfTrue="1">
      <formula>$B$4="一般"</formula>
    </cfRule>
  </conditionalFormatting>
  <conditionalFormatting sqref="D16:D114">
    <cfRule type="expression" dxfId="168" priority="66" stopIfTrue="1">
      <formula>NOT(ISERROR(SEARCH("女",$C16)))</formula>
    </cfRule>
    <cfRule type="expression" dxfId="167" priority="65" stopIfTrue="1">
      <formula>NOT(ISERROR(SEARCH("男",$C16)))</formula>
    </cfRule>
  </conditionalFormatting>
  <conditionalFormatting sqref="D4:E4">
    <cfRule type="expression" dxfId="166" priority="61" stopIfTrue="1">
      <formula>AND($F$4&gt;0,$D$4="")</formula>
    </cfRule>
  </conditionalFormatting>
  <conditionalFormatting sqref="D15:G15">
    <cfRule type="expression" dxfId="14" priority="764" stopIfTrue="1">
      <formula>NOT(ISERROR(SEARCH("女",$C15)))</formula>
    </cfRule>
    <cfRule type="expression" dxfId="13" priority="763" stopIfTrue="1">
      <formula>NOT(ISERROR(SEARCH("男",$C15)))</formula>
    </cfRule>
  </conditionalFormatting>
  <conditionalFormatting sqref="E16">
    <cfRule type="expression" dxfId="165" priority="760" stopIfTrue="1">
      <formula>AND(E16="",G15&gt;0)</formula>
    </cfRule>
    <cfRule type="expression" dxfId="164" priority="761" stopIfTrue="1">
      <formula>NOT(ISERROR(SEARCH("女",$C15)))</formula>
    </cfRule>
    <cfRule type="expression" dxfId="163" priority="762" stopIfTrue="1">
      <formula>NOT(ISERROR(SEARCH("男",$C15)))</formula>
    </cfRule>
  </conditionalFormatting>
  <conditionalFormatting sqref="E17 E19 E21 E23 E25 E27 E29 E31 E33 E35 E37 E39 E41 E43 E45 E47 E49 E51 E53 E55 E57 E59 E61 E63 E65 E67 E69 E71 E73 E75 E77 E79 E81 E83 E85 E87 E89 E91 E93 E95 E97 E99 E101 E103 E105 E107 E109 E111 E113">
    <cfRule type="expression" dxfId="162" priority="668" stopIfTrue="1">
      <formula>NOT(ISERROR(SEARCH("女",$C17)))</formula>
    </cfRule>
    <cfRule type="expression" dxfId="161" priority="667" stopIfTrue="1">
      <formula>NOT(ISERROR(SEARCH("男",$C17)))</formula>
    </cfRule>
  </conditionalFormatting>
  <conditionalFormatting sqref="E18 E20 E22 E24 E26 E28 E30 E32 E34 E36 E38 E40 E42 E44 E46 E48 E50 E52 E54 E56 E58 E60 E62 E64 E66 E68 E70 E72 E74 E76 E78 E80 E82 E84 E86 E88 E90 E92 E94 E96 E98 E100 E102 E104 E106 E108 E110 E112 E114">
    <cfRule type="expression" dxfId="160" priority="666" stopIfTrue="1">
      <formula>NOT(ISERROR(SEARCH("男",$C17)))</formula>
    </cfRule>
    <cfRule type="expression" dxfId="159" priority="665" stopIfTrue="1">
      <formula>NOT(ISERROR(SEARCH("女",$C17)))</formula>
    </cfRule>
    <cfRule type="expression" dxfId="158" priority="664" stopIfTrue="1">
      <formula>AND(E18="",G17&gt;0)</formula>
    </cfRule>
  </conditionalFormatting>
  <conditionalFormatting sqref="F16:F114">
    <cfRule type="expression" dxfId="157" priority="746" stopIfTrue="1">
      <formula>NOT(ISERROR(SEARCH("女",$C16)))</formula>
    </cfRule>
    <cfRule type="expression" dxfId="156" priority="745" stopIfTrue="1">
      <formula>NOT(ISERROR(SEARCH("男",$C16)))</formula>
    </cfRule>
  </conditionalFormatting>
  <conditionalFormatting sqref="F4:G4">
    <cfRule type="expression" dxfId="155" priority="60" stopIfTrue="1">
      <formula>AND($D$4&gt;0,$D$5&gt;0,$F$4="")</formula>
    </cfRule>
  </conditionalFormatting>
  <conditionalFormatting sqref="G16">
    <cfRule type="expression" dxfId="12" priority="757" stopIfTrue="1">
      <formula>AND(G16="",I15&gt;0)</formula>
    </cfRule>
    <cfRule type="expression" dxfId="11" priority="758" stopIfTrue="1">
      <formula>NOT(ISERROR(SEARCH("女",$C15)))</formula>
    </cfRule>
    <cfRule type="expression" dxfId="10" priority="759" stopIfTrue="1">
      <formula>NOT(ISERROR(SEARCH("男",$C15)))</formula>
    </cfRule>
  </conditionalFormatting>
  <conditionalFormatting sqref="G17 G19 G21">
    <cfRule type="expression" dxfId="9" priority="26" stopIfTrue="1">
      <formula>NOT(ISERROR(SEARCH("女",$C17)))</formula>
    </cfRule>
    <cfRule type="expression" dxfId="8" priority="25" stopIfTrue="1">
      <formula>NOT(ISERROR(SEARCH("男",$C17)))</formula>
    </cfRule>
  </conditionalFormatting>
  <conditionalFormatting sqref="G18 G20 G22">
    <cfRule type="expression" dxfId="7" priority="22" stopIfTrue="1">
      <formula>AND(G18="",I17&gt;0)</formula>
    </cfRule>
    <cfRule type="expression" dxfId="6" priority="24" stopIfTrue="1">
      <formula>NOT(ISERROR(SEARCH("男",$C17)))</formula>
    </cfRule>
    <cfRule type="expression" dxfId="5" priority="23" stopIfTrue="1">
      <formula>NOT(ISERROR(SEARCH("女",$C17)))</formula>
    </cfRule>
  </conditionalFormatting>
  <conditionalFormatting sqref="G23 G25 G27 G29 G31 G33 G35 G37 G39 G41 G43 G45 G47 G49 G51 G53 G55 G57 G59 G61 G63 G65 G67 G69 G71 G73 G75 G77 G79 G81 G83 G85 G87 G89 G91 G93 G95 G97 G99 G101 G103 G105 G107 G109 G111 G113">
    <cfRule type="expression" dxfId="4" priority="16" stopIfTrue="1">
      <formula>NOT(ISERROR(SEARCH("男",$C23)))</formula>
    </cfRule>
    <cfRule type="expression" dxfId="3" priority="17" stopIfTrue="1">
      <formula>NOT(ISERROR(SEARCH("女",$C23)))</formula>
    </cfRule>
  </conditionalFormatting>
  <conditionalFormatting sqref="G24 G26 G28 G30 G32 G34 G36 G38 G40 G42 G44 G46 G48 G50 G52 G54 G56 G58 G60 G62 G64 G66 G68 G70 G72 G74 G76 G78 G80 G82 G84 G86 G88 G90 G92 G94 G96 G98 G100 G102 G104 G106 G108 G110 G112 G114">
    <cfRule type="expression" dxfId="2" priority="15" stopIfTrue="1">
      <formula>NOT(ISERROR(SEARCH("男",$C23)))</formula>
    </cfRule>
    <cfRule type="expression" dxfId="1" priority="14" stopIfTrue="1">
      <formula>NOT(ISERROR(SEARCH("女",$C23)))</formula>
    </cfRule>
    <cfRule type="expression" dxfId="0" priority="13" stopIfTrue="1">
      <formula>AND(G24="",I23&gt;0)</formula>
    </cfRule>
  </conditionalFormatting>
  <conditionalFormatting sqref="G12:I12">
    <cfRule type="containsText" dxfId="154" priority="771" operator="containsText" text="未入力">
      <formula>NOT(ISERROR(SEARCH("未入力",G12)))</formula>
    </cfRule>
    <cfRule type="containsText" dxfId="153" priority="770" operator="containsText" text="未入力">
      <formula>NOT(ISERROR(SEARCH("未入力",G12)))</formula>
    </cfRule>
    <cfRule type="containsText" dxfId="152" priority="772" operator="containsText" text="未">
      <formula>NOT(ISERROR(SEARCH("未",G12)))</formula>
    </cfRule>
    <cfRule type="containsText" dxfId="151" priority="773" operator="containsText" text="未">
      <formula>NOT(ISERROR(SEARCH("未",G12)))</formula>
    </cfRule>
    <cfRule type="containsText" dxfId="150" priority="774" operator="containsText" text="未">
      <formula>NOT(ISERROR(SEARCH("未",G12)))</formula>
    </cfRule>
    <cfRule type="containsText" dxfId="149" priority="775" operator="containsText" text="未">
      <formula>NOT(ISERROR(SEARCH("未",G12)))</formula>
    </cfRule>
    <cfRule type="containsText" dxfId="148" priority="776" operator="containsText" text="未">
      <formula>NOT(ISERROR(SEARCH("未",G12)))</formula>
    </cfRule>
  </conditionalFormatting>
  <conditionalFormatting sqref="H4:I4">
    <cfRule type="expression" dxfId="147" priority="62" stopIfTrue="1">
      <formula>AND(D4&gt;0,D5&gt;0,H4="")</formula>
    </cfRule>
  </conditionalFormatting>
  <conditionalFormatting sqref="J15">
    <cfRule type="cellIs" dxfId="146" priority="80" stopIfTrue="1" operator="notEqual">
      <formula>1</formula>
    </cfRule>
  </conditionalFormatting>
  <conditionalFormatting sqref="J17 J19 J21 J23 J25 J27 J29 J31 J33 J35 J37 J39 J41 J43 J45 J47 J49 J51 J53 J55 J57 J59 J61 J63 J65 J67 J69 J71 J73 J75 J77 J79 J81 J83 J85 J87 J89 J91 J93 J95 J97 J99 J101 J103 J105 J107 J109 J111 J113">
    <cfRule type="cellIs" dxfId="145" priority="79" stopIfTrue="1" operator="notEqual">
      <formula>1</formula>
    </cfRule>
  </conditionalFormatting>
  <conditionalFormatting sqref="L15">
    <cfRule type="expression" dxfId="144" priority="6" stopIfTrue="1">
      <formula>L15&gt;AX15-0</formula>
    </cfRule>
  </conditionalFormatting>
  <conditionalFormatting sqref="L20">
    <cfRule type="expression" dxfId="143" priority="4" stopIfTrue="1">
      <formula>L20&gt;AX20-0</formula>
    </cfRule>
  </conditionalFormatting>
  <conditionalFormatting sqref="L28">
    <cfRule type="expression" dxfId="142" priority="1" stopIfTrue="1">
      <formula>L28&gt;AX28-0</formula>
    </cfRule>
  </conditionalFormatting>
  <conditionalFormatting sqref="L23:Q24">
    <cfRule type="expression" dxfId="141" priority="3" stopIfTrue="1">
      <formula>L23&gt;AX23-0</formula>
    </cfRule>
  </conditionalFormatting>
  <conditionalFormatting sqref="L13:S13">
    <cfRule type="expression" dxfId="140" priority="8" stopIfTrue="1">
      <formula>L13&gt;AX13-0</formula>
    </cfRule>
  </conditionalFormatting>
  <conditionalFormatting sqref="M14">
    <cfRule type="expression" dxfId="139" priority="7" stopIfTrue="1">
      <formula>M14&gt;AY14-0</formula>
    </cfRule>
  </conditionalFormatting>
  <conditionalFormatting sqref="M19">
    <cfRule type="expression" dxfId="138" priority="5" stopIfTrue="1">
      <formula>M19&gt;AY19-0</formula>
    </cfRule>
  </conditionalFormatting>
  <conditionalFormatting sqref="M27">
    <cfRule type="expression" dxfId="137" priority="2" stopIfTrue="1">
      <formula>M27&gt;AY27-0</formula>
    </cfRule>
  </conditionalFormatting>
  <conditionalFormatting sqref="O14 Q14 N15 P15 L16:O16 Q16 P18 O19:Q19 N20 Q21 P22 Q25 P26 O27 N28">
    <cfRule type="expression" dxfId="136" priority="834" stopIfTrue="1">
      <formula>L14&gt;AX14-0</formula>
    </cfRule>
  </conditionalFormatting>
  <dataValidations count="13">
    <dataValidation type="list" allowBlank="1" showInputMessage="1" showErrorMessage="1" sqref="G13" xr:uid="{00000000-0002-0000-0100-000000000000}">
      <formula1>INDIRECT($C13)</formula1>
    </dataValidation>
    <dataValidation type="whole" imeMode="halfAlpha" allowBlank="1" showInputMessage="1" showErrorMessage="1" sqref="D15:D114" xr:uid="{00000000-0002-0000-0100-000001000000}">
      <formula1>1</formula1>
      <formula2>9999</formula2>
    </dataValidation>
    <dataValidation imeMode="halfKatakana" allowBlank="1" showInputMessage="1" showErrorMessage="1" sqref="E114 E16 E18 E20 E22 E24 E26 E28 E30 E32 E34 E36 E38 E40 E42 E44 E46 E48 E50 E52 E54 E56 E58 E60 E62 E64 E66 E68 E70 E72 E74 E76 E78 E80 E82 E84 E86 E88 E90 E92 E94 E96 E98 E100 E102 E104 E106 E108 E110 E112 H4:I4" xr:uid="{00000000-0002-0000-0100-000002000000}"/>
    <dataValidation type="whole" allowBlank="1" showInputMessage="1" showErrorMessage="1" sqref="G14" xr:uid="{00000000-0002-0000-0100-000003000000}">
      <formula1>100</formula1>
      <formula2>999999</formula2>
    </dataValidation>
    <dataValidation type="list" allowBlank="1" showInputMessage="1" showErrorMessage="1" sqref="C13:C14" xr:uid="{00000000-0002-0000-0100-000004000000}">
      <formula1>性</formula1>
    </dataValidation>
    <dataValidation type="whole" allowBlank="1" showInputMessage="1" showErrorMessage="1" sqref="D13:D14" xr:uid="{00000000-0002-0000-0100-000005000000}">
      <formula1>1</formula1>
      <formula2>9999</formula2>
    </dataValidation>
    <dataValidation type="whole" allowBlank="1" showInputMessage="1" showErrorMessage="1" sqref="F13" xr:uid="{00000000-0002-0000-0100-000006000000}">
      <formula1>1</formula1>
      <formula2>99</formula2>
    </dataValidation>
    <dataValidation type="whole" imeMode="disabled" allowBlank="1" showInputMessage="1" showErrorMessage="1" sqref="G16 G22 G18 G20 G24 G26 G28 G30 G32 G34 G36 G38 G40 G42 G44 G46 G48 G50 G52 G54 G56 G58 G60 G62 G64 G66 G68 G70 G72 G74 G76 G78 G80 G82 G84 G86 G88 G90 G92 G94 G96 G98 G100 G102 G104 G106 G108 G110 G112 G114" xr:uid="{00000000-0002-0000-0100-000007000000}">
      <formula1>100</formula1>
      <formula2>999999</formula2>
    </dataValidation>
    <dataValidation imeMode="hiragana" allowBlank="1" showInputMessage="1" showErrorMessage="1" sqref="E15 E17 E19 E21 E23 E25 E27 E29 E31 E33 E35 E37 E39 E41 E43 E45 E47 E49 E51 E53 E55 E57 E59 E61 E63 E65 E67 E69 E71 E73 E75 E77 E79 E81 E83 E85 E87 E89 E91 E93 E95 E97 E99 E101 E103 E105 E107 E109 E111 E113" xr:uid="{00000000-0002-0000-0100-000008000000}"/>
    <dataValidation type="list" allowBlank="1" showInputMessage="1" showErrorMessage="1" sqref="B4:C4" xr:uid="{00000000-0002-0000-0100-000009000000}">
      <formula1>$V$12:$V$15</formula1>
    </dataValidation>
    <dataValidation type="list" allowBlank="1" showInputMessage="1" showErrorMessage="1" sqref="F15:F114" xr:uid="{00000000-0002-0000-0100-00000A000000}">
      <formula1>$U$12:$U$20</formula1>
    </dataValidation>
    <dataValidation type="list" allowBlank="1" showInputMessage="1" showErrorMessage="1" sqref="C15:C114" xr:uid="{00000000-0002-0000-0100-00000B000000}">
      <formula1>IF($B$4="小学",$AQ$12:$AR$12,IF($B$4="中学",$AO$12:$AP$12,$AK$12:$AL$12))</formula1>
    </dataValidation>
    <dataValidation type="list" allowBlank="1" showInputMessage="1" showErrorMessage="1" sqref="G15 G17 G19 G21 G23 G25 G27 G29 G31 G33 G35 G37 G39 G41 G43 G45 G47 G49 G51 G53 G55 G57 G59 G61 G63 G65 G67 G69 G71 G73 G75 G77 G79 G81 G83 G85 G87 G89 G91 G93 G95 G97 G99 G101 G103 G105 G107 G109 G111 G113" xr:uid="{00000000-0002-0000-0100-00000C000000}">
      <formula1>IF(Z15="一般男子",男子,IF(Z15="一般女子",女子,IF(Z15="高校男子",高校男子,IF(Z15="高校女子",高校女子,IF(Z15="中学中学男子",中学男子,IF(Z15="中学中学女子",中学女子,IF(Z15="小学小学男子",小男4_6年,IF(Z15="小学小学女子",小女4_6年,""))))))))</formula1>
    </dataValidation>
  </dataValidations>
  <pageMargins left="0.27559055118110237" right="0.31496062992125984" top="0.35433070866141736" bottom="0.23622047244094491" header="0.31496062992125984" footer="0.19685039370078741"/>
  <pageSetup paperSize="9" scale="98" orientation="portrait" r:id="rId1"/>
  <ignoredErrors>
    <ignoredError sqref="A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70C0"/>
    <pageSetUpPr fitToPage="1"/>
  </sheetPr>
  <dimension ref="B1:AH70"/>
  <sheetViews>
    <sheetView showGridLines="0" zoomScale="80" zoomScaleNormal="80" zoomScaleSheetLayoutView="80" workbookViewId="0">
      <selection activeCell="B11" sqref="B11"/>
    </sheetView>
  </sheetViews>
  <sheetFormatPr defaultColWidth="8.875" defaultRowHeight="15.75" x14ac:dyDescent="0.15"/>
  <cols>
    <col min="1" max="1" width="2.125" style="3" customWidth="1"/>
    <col min="2" max="2" width="12.125" style="3" customWidth="1"/>
    <col min="3" max="3" width="16.625" style="3" customWidth="1"/>
    <col min="4" max="4" width="7" style="13" customWidth="1"/>
    <col min="5" max="5" width="16.875" style="3" customWidth="1"/>
    <col min="6" max="6" width="7" style="13" customWidth="1"/>
    <col min="7" max="7" width="16.875" style="3" customWidth="1"/>
    <col min="8" max="8" width="7" style="13" customWidth="1"/>
    <col min="9" max="9" width="16.875" style="3" customWidth="1"/>
    <col min="10" max="10" width="1.75" style="3" customWidth="1"/>
    <col min="11" max="16" width="10.625" style="3" customWidth="1"/>
    <col min="17" max="17" width="3" style="3" hidden="1" customWidth="1"/>
    <col min="18" max="19" width="14.375" style="3" hidden="1" customWidth="1"/>
    <col min="20" max="20" width="10.125" style="3" hidden="1" customWidth="1"/>
    <col min="21" max="22" width="9.25" style="3" hidden="1" customWidth="1"/>
    <col min="23" max="27" width="3.625" style="3" hidden="1" customWidth="1"/>
    <col min="28" max="29" width="9.25" style="3" hidden="1" customWidth="1"/>
    <col min="30" max="30" width="8.875" style="3" hidden="1" customWidth="1"/>
    <col min="31" max="31" width="17" style="8" hidden="1" customWidth="1"/>
    <col min="32" max="32" width="15.75" style="3" hidden="1" customWidth="1"/>
    <col min="33" max="33" width="15.75" style="8" hidden="1" customWidth="1"/>
    <col min="34" max="34" width="8.625" style="3" hidden="1" customWidth="1"/>
    <col min="35" max="36" width="8.875" style="3" customWidth="1"/>
    <col min="37" max="16384" width="8.875" style="3"/>
  </cols>
  <sheetData>
    <row r="1" spans="2:34" ht="25.5" customHeight="1" thickBot="1" x14ac:dyDescent="0.2">
      <c r="B1" s="218" t="str">
        <f>個人種目申込一覧表!B1</f>
        <v>第69回松本市市民スポーツ大会『春季大会』</v>
      </c>
      <c r="C1" s="218"/>
      <c r="D1" s="218"/>
      <c r="E1" s="218"/>
      <c r="F1" s="218"/>
      <c r="G1" s="13"/>
      <c r="H1" s="13" t="s">
        <v>128</v>
      </c>
      <c r="I1" s="13"/>
      <c r="U1" s="13" t="s">
        <v>55</v>
      </c>
      <c r="V1" s="13">
        <v>1200</v>
      </c>
      <c r="AB1" s="153">
        <v>1</v>
      </c>
      <c r="AC1" s="154" t="s">
        <v>147</v>
      </c>
    </row>
    <row r="2" spans="2:34" ht="8.25" customHeight="1" thickTop="1" x14ac:dyDescent="0.15">
      <c r="B2" s="13"/>
      <c r="C2" s="13"/>
      <c r="G2" s="13"/>
      <c r="I2" s="13"/>
      <c r="K2" s="256" t="s">
        <v>151</v>
      </c>
      <c r="L2" s="257"/>
      <c r="M2" s="257"/>
      <c r="N2" s="257"/>
      <c r="O2" s="257"/>
      <c r="P2" s="258"/>
      <c r="U2" s="13" t="s">
        <v>51</v>
      </c>
      <c r="V2" s="13">
        <v>1200</v>
      </c>
      <c r="AB2" s="153">
        <v>2</v>
      </c>
      <c r="AC2" s="154" t="s">
        <v>148</v>
      </c>
    </row>
    <row r="3" spans="2:34" ht="25.5" customHeight="1" x14ac:dyDescent="0.15">
      <c r="C3" s="19" t="s">
        <v>25</v>
      </c>
      <c r="K3" s="259"/>
      <c r="L3" s="260"/>
      <c r="M3" s="260"/>
      <c r="N3" s="260"/>
      <c r="O3" s="260"/>
      <c r="P3" s="261"/>
      <c r="Q3" s="78"/>
      <c r="U3" s="13" t="s">
        <v>52</v>
      </c>
      <c r="V3" s="13">
        <v>500</v>
      </c>
      <c r="W3" s="151"/>
      <c r="X3" s="151"/>
      <c r="Y3" s="151"/>
      <c r="Z3" s="151"/>
      <c r="AA3" s="151"/>
      <c r="AB3" s="155">
        <v>3</v>
      </c>
      <c r="AC3" s="156" t="s">
        <v>152</v>
      </c>
    </row>
    <row r="4" spans="2:34" ht="6" customHeight="1" thickBot="1" x14ac:dyDescent="0.2">
      <c r="K4" s="259"/>
      <c r="L4" s="260"/>
      <c r="M4" s="260"/>
      <c r="N4" s="260"/>
      <c r="O4" s="260"/>
      <c r="P4" s="261"/>
      <c r="Q4" s="78"/>
      <c r="U4" s="13" t="s">
        <v>66</v>
      </c>
      <c r="V4" s="13">
        <v>500</v>
      </c>
      <c r="W4" s="151"/>
      <c r="X4" s="151"/>
      <c r="Y4" s="151"/>
      <c r="Z4" s="151"/>
      <c r="AA4" s="151"/>
      <c r="AB4" s="155">
        <v>4</v>
      </c>
      <c r="AC4" s="156" t="s">
        <v>152</v>
      </c>
    </row>
    <row r="5" spans="2:34" ht="27" customHeight="1" x14ac:dyDescent="0.15">
      <c r="C5" s="25" t="s">
        <v>16</v>
      </c>
      <c r="D5" s="3"/>
      <c r="E5" s="25" t="s">
        <v>19</v>
      </c>
      <c r="G5" s="25" t="s">
        <v>20</v>
      </c>
      <c r="I5" s="25" t="s">
        <v>17</v>
      </c>
      <c r="K5" s="259"/>
      <c r="L5" s="260"/>
      <c r="M5" s="260"/>
      <c r="N5" s="260"/>
      <c r="O5" s="260"/>
      <c r="P5" s="261"/>
      <c r="Q5" s="78"/>
      <c r="R5" s="73" t="str">
        <f>個人種目申込一覧表!B4</f>
        <v>一般</v>
      </c>
      <c r="S5" s="3" t="str">
        <f>IF($R$5=0,$R$6,IF($R$5="一般",リレー申込票!$S$6:$T$6,IF($R$5="高校",リレー申込票!$S$6:$T$6,IF($R$5="中学",リレー申込票!$U$6:$V$6,IF($R$5="小学",リレー申込票!$W$6:$X$6,"")))))</f>
        <v>男子</v>
      </c>
      <c r="AB5" s="155">
        <v>5</v>
      </c>
      <c r="AC5" s="156" t="s">
        <v>149</v>
      </c>
    </row>
    <row r="6" spans="2:34" ht="27" customHeight="1" thickBot="1" x14ac:dyDescent="0.2">
      <c r="C6" s="79">
        <f>COUNTA(E10,E15,E20,E25,E30,E35,E40,E45,E50,E55,E60,E65)</f>
        <v>0</v>
      </c>
      <c r="D6" s="3"/>
      <c r="E6" s="80">
        <f>SUM(Q10+Q15+Q20+Q25+J30+J35+J40+J45+J50)</f>
        <v>0</v>
      </c>
      <c r="G6" s="30">
        <f>IF(個人種目申込一覧表!B4="","",VLOOKUP(個人種目申込一覧表!B4,U1:V4,2,FALSE))</f>
        <v>1200</v>
      </c>
      <c r="I6" s="30">
        <f>IF(G6="","",C6*G6)</f>
        <v>0</v>
      </c>
      <c r="K6" s="259"/>
      <c r="L6" s="260"/>
      <c r="M6" s="260"/>
      <c r="N6" s="260"/>
      <c r="O6" s="260"/>
      <c r="P6" s="261"/>
      <c r="Q6" s="78"/>
      <c r="S6" s="13" t="s">
        <v>122</v>
      </c>
      <c r="T6" s="13" t="s">
        <v>123</v>
      </c>
      <c r="U6" s="13" t="s">
        <v>56</v>
      </c>
      <c r="V6" s="13" t="s">
        <v>57</v>
      </c>
      <c r="W6" s="13" t="s">
        <v>73</v>
      </c>
      <c r="X6" s="13" t="s">
        <v>74</v>
      </c>
      <c r="AB6" s="155">
        <v>6</v>
      </c>
      <c r="AC6" s="156" t="s">
        <v>150</v>
      </c>
    </row>
    <row r="7" spans="2:34" ht="6" customHeight="1" thickBot="1" x14ac:dyDescent="0.2">
      <c r="K7" s="259"/>
      <c r="L7" s="260"/>
      <c r="M7" s="260"/>
      <c r="N7" s="260"/>
      <c r="O7" s="260"/>
      <c r="P7" s="261"/>
      <c r="Q7" s="81"/>
      <c r="S7" s="3">
        <v>1</v>
      </c>
      <c r="T7" s="3">
        <v>2</v>
      </c>
      <c r="U7" s="3">
        <v>3</v>
      </c>
      <c r="V7" s="3">
        <v>4</v>
      </c>
      <c r="W7" s="3">
        <v>5</v>
      </c>
      <c r="X7" s="3">
        <v>6</v>
      </c>
      <c r="Y7" s="13"/>
      <c r="Z7" s="13"/>
      <c r="AA7" s="13"/>
      <c r="AB7" s="157">
        <v>0</v>
      </c>
      <c r="AC7" s="157"/>
    </row>
    <row r="8" spans="2:34" ht="36" customHeight="1" thickBot="1" x14ac:dyDescent="0.2">
      <c r="D8" s="133" t="s">
        <v>138</v>
      </c>
      <c r="E8" s="82" t="s">
        <v>15</v>
      </c>
      <c r="F8" s="134" t="s">
        <v>138</v>
      </c>
      <c r="G8" s="82" t="s">
        <v>15</v>
      </c>
      <c r="H8" s="134" t="s">
        <v>138</v>
      </c>
      <c r="I8" s="83" t="s">
        <v>15</v>
      </c>
      <c r="K8" s="262"/>
      <c r="L8" s="263"/>
      <c r="M8" s="263"/>
      <c r="N8" s="263"/>
      <c r="O8" s="263"/>
      <c r="P8" s="264"/>
      <c r="Q8" s="81"/>
      <c r="R8" s="81"/>
      <c r="S8" s="3" t="s">
        <v>71</v>
      </c>
      <c r="T8" s="3" t="s">
        <v>72</v>
      </c>
      <c r="AE8" s="8" t="s">
        <v>89</v>
      </c>
      <c r="AF8" s="3" t="s">
        <v>91</v>
      </c>
      <c r="AG8" s="8" t="s">
        <v>90</v>
      </c>
      <c r="AH8" s="3" t="s">
        <v>92</v>
      </c>
    </row>
    <row r="9" spans="2:34" ht="6" customHeight="1" thickBot="1" x14ac:dyDescent="0.2">
      <c r="B9" s="84"/>
      <c r="C9" s="84"/>
      <c r="D9" s="85"/>
      <c r="F9" s="85"/>
      <c r="H9" s="85"/>
    </row>
    <row r="10" spans="2:34" ht="27" customHeight="1" x14ac:dyDescent="0.15">
      <c r="B10" s="86" t="s">
        <v>22</v>
      </c>
      <c r="C10" s="87" t="s">
        <v>23</v>
      </c>
      <c r="D10" s="88"/>
      <c r="E10" s="89"/>
      <c r="F10" s="90"/>
      <c r="G10" s="89"/>
      <c r="H10" s="90"/>
      <c r="I10" s="91"/>
      <c r="K10" s="11" t="str">
        <f>IF(E10="","",LEN(E10)-LEN(SUBSTITUTE(SUBSTITUTE(E10," ",),"　",)))</f>
        <v/>
      </c>
      <c r="M10" s="11" t="str">
        <f>IF(G10="","",LEN(G10)-LEN(SUBSTITUTE(SUBSTITUTE(G10," ",),"　",)))</f>
        <v/>
      </c>
      <c r="O10" s="11" t="str">
        <f>IF(I10="","",LEN(I10)-LEN(SUBSTITUTE(SUBSTITUTE(I10," ",),"　",)))</f>
        <v/>
      </c>
      <c r="Q10" s="3">
        <f>COUNTA(E10,G10,I10,E12,G12,I12)</f>
        <v>0</v>
      </c>
      <c r="AE10" s="92" t="str">
        <f>B11&amp;D10&amp;E10</f>
        <v/>
      </c>
      <c r="AF10" s="93" t="str">
        <f t="shared" ref="AF10:AF59" si="0">IF(AG10="","",VLOOKUP(AG10,$AE$10:$AE$45,1,FALSE))</f>
        <v/>
      </c>
      <c r="AG10" s="94" t="str">
        <f>個人種目申込一覧表!AD15</f>
        <v/>
      </c>
      <c r="AH10" s="93" t="str">
        <f>IF(ISERROR(AG10=AF10),個人種目申込一覧表!E15,"")</f>
        <v/>
      </c>
    </row>
    <row r="11" spans="2:34" ht="27" customHeight="1" thickBot="1" x14ac:dyDescent="0.2">
      <c r="B11" s="95"/>
      <c r="C11" s="96" t="s">
        <v>86</v>
      </c>
      <c r="D11" s="97"/>
      <c r="E11" s="98"/>
      <c r="F11" s="99"/>
      <c r="G11" s="98"/>
      <c r="H11" s="99"/>
      <c r="I11" s="100"/>
      <c r="K11" s="101"/>
      <c r="L11" s="101"/>
      <c r="M11" s="101"/>
      <c r="N11" s="101"/>
      <c r="O11" s="101"/>
      <c r="R11" s="3" t="str">
        <f>IF(B11="","",B11&amp;C11)</f>
        <v/>
      </c>
      <c r="S11" s="3">
        <f>IF(R11="",1,R11)</f>
        <v>1</v>
      </c>
      <c r="AE11" s="92" t="str">
        <f>B11&amp;F10&amp;G10</f>
        <v/>
      </c>
      <c r="AF11" s="93" t="str">
        <f t="shared" si="0"/>
        <v/>
      </c>
      <c r="AG11" s="94" t="str">
        <f>個人種目申込一覧表!AD17</f>
        <v/>
      </c>
      <c r="AH11" s="93" t="str">
        <f>IF(ISERROR(AG11=AF11),個人種目申込一覧表!E17,"")</f>
        <v/>
      </c>
    </row>
    <row r="12" spans="2:34" ht="27" customHeight="1" x14ac:dyDescent="0.15">
      <c r="B12" s="102" t="s">
        <v>24</v>
      </c>
      <c r="C12" s="103" t="s">
        <v>21</v>
      </c>
      <c r="D12" s="104"/>
      <c r="E12" s="105"/>
      <c r="F12" s="106"/>
      <c r="G12" s="105"/>
      <c r="H12" s="106"/>
      <c r="I12" s="107"/>
      <c r="K12" s="11" t="str">
        <f>IF(E12="","",LEN(E12)-LEN(SUBSTITUTE(SUBSTITUTE(E12," ",),"　",)))</f>
        <v/>
      </c>
      <c r="M12" s="11" t="str">
        <f>IF(G12="","",LEN(G12)-LEN(SUBSTITUTE(SUBSTITUTE(G12," ",),"　",)))</f>
        <v/>
      </c>
      <c r="O12" s="11" t="str">
        <f>IF(I12="","",LEN(I12)-LEN(SUBSTITUTE(SUBSTITUTE(I12," ",),"　",)))</f>
        <v/>
      </c>
      <c r="AE12" s="92" t="str">
        <f>B11&amp;H10&amp;I10</f>
        <v/>
      </c>
      <c r="AF12" s="93" t="str">
        <f t="shared" si="0"/>
        <v/>
      </c>
      <c r="AG12" s="94" t="str">
        <f>個人種目申込一覧表!AD19</f>
        <v/>
      </c>
      <c r="AH12" s="93" t="str">
        <f>IF(ISERROR(AG12=AF12),個人種目申込一覧表!E19,"")</f>
        <v/>
      </c>
    </row>
    <row r="13" spans="2:34" ht="27" customHeight="1" thickBot="1" x14ac:dyDescent="0.2">
      <c r="B13" s="158" t="str">
        <f>AA13</f>
        <v/>
      </c>
      <c r="C13" s="108"/>
      <c r="D13" s="109"/>
      <c r="E13" s="110"/>
      <c r="F13" s="111"/>
      <c r="G13" s="110"/>
      <c r="H13" s="111"/>
      <c r="I13" s="112"/>
      <c r="K13" s="101"/>
      <c r="L13" s="101"/>
      <c r="M13" s="101"/>
      <c r="N13" s="101"/>
      <c r="O13" s="101"/>
      <c r="W13" s="152">
        <f>IF(B11="男子",COUNTIF($R$11:R12,"男子4x100mR"),IF(B11="中学男子",COUNTIF($R$11:R12,"中学男子4x100mR"),IF(B11="小学男子",COUNTIF($R$11:R12,"小学男子4x100mR"),0)))</f>
        <v>0</v>
      </c>
      <c r="X13" s="152">
        <f>IF(B11="女子",COUNTIF($S$11:S12,"女子4x100mR"),IF(B11="中学女子",COUNTIF($S$11:S12,"中学女子4x100mR"),IF(B11="小学女子",COUNTIF($S$11:S12,"小学女子4x100mR"),0)))</f>
        <v>0</v>
      </c>
      <c r="Y13" s="152">
        <f>IF(SUM(W13:$W$38)&gt;1,W13,0)</f>
        <v>0</v>
      </c>
      <c r="Z13" s="152">
        <f>IF(SUM(X13:$X$38)&gt;1,X13,0)</f>
        <v>0</v>
      </c>
      <c r="AA13" s="152" t="str">
        <f>IF(VLOOKUP(MAX(Y13:Z13),$AB$1:$AC$7,2,FALSE)=0,"",VLOOKUP(MAX(Y13:Z13),$AB$1:$AC$7,2,FALSE))</f>
        <v/>
      </c>
      <c r="AC13" s="13"/>
      <c r="AE13" s="92" t="str">
        <f>B11&amp;D12&amp;E12</f>
        <v/>
      </c>
      <c r="AF13" s="93" t="str">
        <f t="shared" si="0"/>
        <v/>
      </c>
      <c r="AG13" s="94" t="str">
        <f>個人種目申込一覧表!AD21</f>
        <v/>
      </c>
      <c r="AH13" s="93" t="str">
        <f>IF(ISERROR(AG13=AF13),個人種目申込一覧表!E21,"")</f>
        <v/>
      </c>
    </row>
    <row r="14" spans="2:34" ht="6" customHeight="1" thickBot="1" x14ac:dyDescent="0.2">
      <c r="AE14" s="92" t="str">
        <f>B11&amp;F12&amp;G12</f>
        <v/>
      </c>
      <c r="AF14" s="93" t="str">
        <f t="shared" si="0"/>
        <v/>
      </c>
      <c r="AG14" s="94" t="str">
        <f>個人種目申込一覧表!AD23</f>
        <v/>
      </c>
      <c r="AH14" s="93" t="str">
        <f>IF(ISERROR(AG14=AF14),個人種目申込一覧表!E23,"")</f>
        <v/>
      </c>
    </row>
    <row r="15" spans="2:34" ht="27" customHeight="1" x14ac:dyDescent="0.15">
      <c r="B15" s="86" t="s">
        <v>22</v>
      </c>
      <c r="C15" s="87" t="s">
        <v>23</v>
      </c>
      <c r="D15" s="88"/>
      <c r="E15" s="89"/>
      <c r="F15" s="90"/>
      <c r="G15" s="89"/>
      <c r="H15" s="90"/>
      <c r="I15" s="91"/>
      <c r="K15" s="11" t="str">
        <f>IF(E15="","",LEN(E15)-LEN(SUBSTITUTE(SUBSTITUTE(E15," ",),"　",)))</f>
        <v/>
      </c>
      <c r="M15" s="11" t="str">
        <f>IF(G15="","",LEN(G15)-LEN(SUBSTITUTE(SUBSTITUTE(G15," ",),"　",)))</f>
        <v/>
      </c>
      <c r="O15" s="11" t="str">
        <f>IF(I15="","",LEN(I15)-LEN(SUBSTITUTE(SUBSTITUTE(I15," ",),"　",)))</f>
        <v/>
      </c>
      <c r="Q15" s="3">
        <f>COUNTA(E15,G15,I15,E17,G17,I17)</f>
        <v>0</v>
      </c>
      <c r="AE15" s="92" t="str">
        <f>B11&amp;H12&amp;I12</f>
        <v/>
      </c>
      <c r="AF15" s="93" t="str">
        <f t="shared" si="0"/>
        <v/>
      </c>
      <c r="AG15" s="94" t="str">
        <f>個人種目申込一覧表!AD25</f>
        <v/>
      </c>
      <c r="AH15" s="93" t="str">
        <f>IF(ISERROR(AG15=AF15),個人種目申込一覧表!E25,"")</f>
        <v/>
      </c>
    </row>
    <row r="16" spans="2:34" ht="27" customHeight="1" thickBot="1" x14ac:dyDescent="0.2">
      <c r="B16" s="95"/>
      <c r="C16" s="96" t="s">
        <v>86</v>
      </c>
      <c r="D16" s="97"/>
      <c r="E16" s="98"/>
      <c r="F16" s="99"/>
      <c r="G16" s="98"/>
      <c r="H16" s="99"/>
      <c r="I16" s="100"/>
      <c r="K16" s="101"/>
      <c r="L16" s="101"/>
      <c r="M16" s="101"/>
      <c r="N16" s="101"/>
      <c r="O16" s="101"/>
      <c r="R16" s="3" t="str">
        <f>IF(B16="","",B16&amp;C16)</f>
        <v/>
      </c>
      <c r="S16" s="3">
        <f>IF(R16="",0,R16)</f>
        <v>0</v>
      </c>
      <c r="T16" s="3">
        <f>IF(ISERROR(VLOOKUP(S16,$R$11:R15,1,FALSE)),1,VLOOKUP(S16,$R$11:R15,1,FALSE))</f>
        <v>1</v>
      </c>
      <c r="U16" s="3" t="str">
        <f>IF(S16=T16,1,"")</f>
        <v/>
      </c>
      <c r="V16" s="3" t="str">
        <f>IF(B18="","",IF(U16=1,B18,""))</f>
        <v/>
      </c>
      <c r="AE16" s="92" t="str">
        <f>B16&amp;D15&amp;E15</f>
        <v/>
      </c>
      <c r="AF16" s="93" t="str">
        <f t="shared" si="0"/>
        <v/>
      </c>
      <c r="AG16" s="94" t="str">
        <f>個人種目申込一覧表!AD27</f>
        <v/>
      </c>
      <c r="AH16" s="93" t="str">
        <f>IF(ISERROR(AG16=AF16),個人種目申込一覧表!E27,"")</f>
        <v/>
      </c>
    </row>
    <row r="17" spans="2:34" ht="27" customHeight="1" x14ac:dyDescent="0.15">
      <c r="B17" s="102" t="s">
        <v>24</v>
      </c>
      <c r="C17" s="103" t="s">
        <v>21</v>
      </c>
      <c r="D17" s="104"/>
      <c r="E17" s="105"/>
      <c r="F17" s="106"/>
      <c r="G17" s="105"/>
      <c r="H17" s="106"/>
      <c r="I17" s="107"/>
      <c r="K17" s="11" t="str">
        <f>IF(E17="","",LEN(E17)-LEN(SUBSTITUTE(SUBSTITUTE(E17," ",),"　",)))</f>
        <v/>
      </c>
      <c r="M17" s="11" t="str">
        <f>IF(G17="","",LEN(G17)-LEN(SUBSTITUTE(SUBSTITUTE(G17," ",),"　",)))</f>
        <v/>
      </c>
      <c r="O17" s="11" t="str">
        <f>IF(I17="","",LEN(I17)-LEN(SUBSTITUTE(SUBSTITUTE(I17," ",),"　",)))</f>
        <v/>
      </c>
      <c r="AE17" s="92" t="str">
        <f>B16&amp;F15&amp;G15</f>
        <v/>
      </c>
      <c r="AF17" s="93" t="str">
        <f t="shared" si="0"/>
        <v/>
      </c>
      <c r="AG17" s="94" t="str">
        <f>個人種目申込一覧表!AD29</f>
        <v/>
      </c>
      <c r="AH17" s="93" t="str">
        <f>IF(ISERROR(AG17=AF17),個人種目申込一覧表!E29,"")</f>
        <v/>
      </c>
    </row>
    <row r="18" spans="2:34" ht="27" customHeight="1" thickBot="1" x14ac:dyDescent="0.2">
      <c r="B18" s="158" t="str">
        <f>AA18</f>
        <v/>
      </c>
      <c r="C18" s="108"/>
      <c r="D18" s="109"/>
      <c r="E18" s="110"/>
      <c r="F18" s="111"/>
      <c r="G18" s="110"/>
      <c r="H18" s="111"/>
      <c r="I18" s="112"/>
      <c r="K18" s="141"/>
      <c r="L18" s="141"/>
      <c r="M18" s="141"/>
      <c r="N18" s="141"/>
      <c r="O18" s="141"/>
      <c r="P18" s="141"/>
      <c r="W18" s="152">
        <f>IF(B16="男子",COUNTIF($R$11:R17,"男子4x100mR"),IF(B16="中学男子",COUNTIF($R$11:R17,"中学男子4x100mR"),IF(B16="小学男子",COUNTIF($R$11:R17,"小学男子4x100mR"),0)))</f>
        <v>0</v>
      </c>
      <c r="X18" s="152">
        <f>IF(B16="女子",COUNTIF($S$11:S17,"女子4x100mR"),IF(B16="中学女子",COUNTIF($S$11:S17,"中学女子4x100mR"),IF(B16="小学女子",COUNTIF($S$11:S17,"小学女子4x100mR"),0)))</f>
        <v>0</v>
      </c>
      <c r="Y18" s="152">
        <f>IF(SUM(W18:$W$38)&gt;1,W18,0)</f>
        <v>0</v>
      </c>
      <c r="Z18" s="152">
        <f>IF(SUM(X18:$X$38)&gt;1,X18,0)</f>
        <v>0</v>
      </c>
      <c r="AA18" s="152" t="str">
        <f>IF(VLOOKUP(MAX(Y18:Z18),$AB$1:$AC$7,2,FALSE)=0,"",VLOOKUP(MAX(Y18:Z18),$AB$1:$AC$7,2,FALSE))</f>
        <v/>
      </c>
      <c r="AE18" s="92" t="str">
        <f>B16&amp;H15&amp;I15</f>
        <v/>
      </c>
      <c r="AF18" s="93" t="str">
        <f t="shared" si="0"/>
        <v/>
      </c>
      <c r="AG18" s="94" t="str">
        <f>個人種目申込一覧表!AD31</f>
        <v/>
      </c>
      <c r="AH18" s="93" t="str">
        <f>IF(ISERROR(AG18=AF18),個人種目申込一覧表!E31,"")</f>
        <v/>
      </c>
    </row>
    <row r="19" spans="2:34" ht="6" customHeight="1" thickBot="1" x14ac:dyDescent="0.2">
      <c r="AE19" s="92" t="str">
        <f>B16&amp;D17&amp;E17</f>
        <v/>
      </c>
      <c r="AF19" s="93" t="str">
        <f t="shared" si="0"/>
        <v/>
      </c>
      <c r="AG19" s="94" t="str">
        <f>個人種目申込一覧表!AD33</f>
        <v/>
      </c>
      <c r="AH19" s="93" t="str">
        <f>IF(ISERROR(AG19=AF19),個人種目申込一覧表!E33,"")</f>
        <v/>
      </c>
    </row>
    <row r="20" spans="2:34" ht="27" customHeight="1" x14ac:dyDescent="0.15">
      <c r="B20" s="86" t="s">
        <v>22</v>
      </c>
      <c r="C20" s="87" t="s">
        <v>23</v>
      </c>
      <c r="D20" s="88"/>
      <c r="E20" s="89"/>
      <c r="F20" s="90"/>
      <c r="G20" s="89"/>
      <c r="H20" s="90"/>
      <c r="I20" s="91"/>
      <c r="K20" s="11" t="str">
        <f>IF(E20="","",LEN(E20)-LEN(SUBSTITUTE(SUBSTITUTE(E20," ",),"　",)))</f>
        <v/>
      </c>
      <c r="M20" s="11" t="str">
        <f>IF(G20="","",LEN(G20)-LEN(SUBSTITUTE(SUBSTITUTE(G20," ",),"　",)))</f>
        <v/>
      </c>
      <c r="O20" s="11" t="str">
        <f>IF(I20="","",LEN(I20)-LEN(SUBSTITUTE(SUBSTITUTE(I20," ",),"　",)))</f>
        <v/>
      </c>
      <c r="Q20" s="3">
        <f>COUNTA(E20,G20,I20,E22,G22,I22)</f>
        <v>0</v>
      </c>
      <c r="AE20" s="92" t="str">
        <f>B16&amp;F17&amp;G17</f>
        <v/>
      </c>
      <c r="AF20" s="93" t="str">
        <f t="shared" si="0"/>
        <v/>
      </c>
      <c r="AG20" s="94" t="str">
        <f>個人種目申込一覧表!AD35</f>
        <v/>
      </c>
      <c r="AH20" s="93" t="str">
        <f>IF(ISERROR(AG20=AF20),個人種目申込一覧表!E35,"")</f>
        <v/>
      </c>
    </row>
    <row r="21" spans="2:34" ht="27" customHeight="1" thickBot="1" x14ac:dyDescent="0.2">
      <c r="B21" s="95"/>
      <c r="C21" s="96" t="s">
        <v>86</v>
      </c>
      <c r="D21" s="97"/>
      <c r="E21" s="98"/>
      <c r="F21" s="99"/>
      <c r="G21" s="98"/>
      <c r="H21" s="99"/>
      <c r="I21" s="100"/>
      <c r="K21" s="101"/>
      <c r="L21" s="101"/>
      <c r="M21" s="101"/>
      <c r="N21" s="101"/>
      <c r="O21" s="101"/>
      <c r="R21" s="3" t="str">
        <f>IF(B21="","",B21&amp;C21)</f>
        <v/>
      </c>
      <c r="S21" s="3">
        <f>IF(R21="",0,R21)</f>
        <v>0</v>
      </c>
      <c r="T21" s="3">
        <f>IF(ISERROR(VLOOKUP(S21,$R$11:R20,1,FALSE)),1,VLOOKUP(S21,$R$11:R20,1,FALSE))</f>
        <v>1</v>
      </c>
      <c r="U21" s="3" t="str">
        <f>IF(S21=T21,1,"")</f>
        <v/>
      </c>
      <c r="V21" s="3" t="str">
        <f>IF(B23="","",IF(U21=1,B23,""))</f>
        <v/>
      </c>
      <c r="AE21" s="92" t="str">
        <f>B16&amp;H17&amp;I17</f>
        <v/>
      </c>
      <c r="AF21" s="93" t="str">
        <f t="shared" si="0"/>
        <v/>
      </c>
      <c r="AG21" s="94" t="str">
        <f>個人種目申込一覧表!AD37</f>
        <v/>
      </c>
      <c r="AH21" s="93" t="str">
        <f>IF(ISERROR(AG21=AF21),個人種目申込一覧表!E37,"")</f>
        <v/>
      </c>
    </row>
    <row r="22" spans="2:34" ht="27" customHeight="1" x14ac:dyDescent="0.15">
      <c r="B22" s="102" t="s">
        <v>24</v>
      </c>
      <c r="C22" s="103" t="s">
        <v>21</v>
      </c>
      <c r="D22" s="104"/>
      <c r="E22" s="105"/>
      <c r="F22" s="106"/>
      <c r="G22" s="105"/>
      <c r="H22" s="106"/>
      <c r="I22" s="107"/>
      <c r="K22" s="11" t="str">
        <f>IF(E22="","",LEN(E22)-LEN(SUBSTITUTE(SUBSTITUTE(E22," ",),"　",)))</f>
        <v/>
      </c>
      <c r="M22" s="11" t="str">
        <f>IF(G22="","",LEN(G22)-LEN(SUBSTITUTE(SUBSTITUTE(G22," ",),"　",)))</f>
        <v/>
      </c>
      <c r="O22" s="11" t="str">
        <f>IF(I22="","",LEN(I22)-LEN(SUBSTITUTE(SUBSTITUTE(I22," ",),"　",)))</f>
        <v/>
      </c>
      <c r="AE22" s="92" t="str">
        <f>B21&amp;D20&amp;E20</f>
        <v/>
      </c>
      <c r="AF22" s="93" t="str">
        <f t="shared" si="0"/>
        <v/>
      </c>
      <c r="AG22" s="94" t="str">
        <f>個人種目申込一覧表!AD39</f>
        <v/>
      </c>
      <c r="AH22" s="93" t="str">
        <f>IF(ISERROR(AG22=AF22),個人種目申込一覧表!E39,"")</f>
        <v/>
      </c>
    </row>
    <row r="23" spans="2:34" ht="27.75" customHeight="1" thickBot="1" x14ac:dyDescent="0.2">
      <c r="B23" s="158" t="str">
        <f>AA23</f>
        <v/>
      </c>
      <c r="C23" s="108"/>
      <c r="D23" s="109"/>
      <c r="E23" s="110"/>
      <c r="F23" s="111"/>
      <c r="G23" s="110"/>
      <c r="H23" s="111"/>
      <c r="I23" s="112"/>
      <c r="K23" s="255"/>
      <c r="L23" s="255"/>
      <c r="M23" s="255"/>
      <c r="N23" s="255"/>
      <c r="O23" s="255"/>
      <c r="P23" s="255"/>
      <c r="W23" s="152">
        <f>IF(B21="男子",COUNTIF($R$11:R22,"男子4x100mR"),IF(B21="中学男子",COUNTIF($R$11:R22,"中学男子4x100mR"),IF(B21="小学男子",COUNTIF($R$11:R22,"小学男子4x100mR"),0)))</f>
        <v>0</v>
      </c>
      <c r="X23" s="152">
        <f>IF(B21="女子",COUNTIF($S$11:S22,"女子4x100mR"),IF(B21="中学女子",COUNTIF($S$11:S22,"中学女子4x100mR"),IF(B21="小学女子",COUNTIF($S$11:S22,"小学女子4x100mR"),0)))</f>
        <v>0</v>
      </c>
      <c r="Y23" s="152">
        <f>IF(SUM(W23:$W$38)&gt;1,W23,0)</f>
        <v>0</v>
      </c>
      <c r="Z23" s="152">
        <f>IF(SUM(X23:$X$38)&gt;1,X23,0)</f>
        <v>0</v>
      </c>
      <c r="AA23" s="152" t="str">
        <f>IF(VLOOKUP(MAX(Y23:Z23),$AB$1:$AC$7,2,FALSE)=0,"",VLOOKUP(MAX(Y23:Z23),$AB$1:$AC$7,2,FALSE))</f>
        <v/>
      </c>
      <c r="AE23" s="92" t="str">
        <f>B21&amp;F20&amp;G20</f>
        <v/>
      </c>
      <c r="AF23" s="93" t="str">
        <f t="shared" si="0"/>
        <v/>
      </c>
      <c r="AG23" s="94" t="str">
        <f>個人種目申込一覧表!AD41</f>
        <v/>
      </c>
      <c r="AH23" s="93" t="str">
        <f>IF(ISERROR(AG23=AF23),個人種目申込一覧表!E41,"")</f>
        <v/>
      </c>
    </row>
    <row r="24" spans="2:34" ht="6" customHeight="1" thickBot="1" x14ac:dyDescent="0.2">
      <c r="AE24" s="92" t="str">
        <f>B21&amp;H20&amp;I20</f>
        <v/>
      </c>
      <c r="AF24" s="93" t="str">
        <f t="shared" si="0"/>
        <v/>
      </c>
      <c r="AG24" s="94" t="str">
        <f>個人種目申込一覧表!AD43</f>
        <v/>
      </c>
      <c r="AH24" s="93" t="str">
        <f>IF(ISERROR(AG24=AF24),個人種目申込一覧表!E43,"")</f>
        <v/>
      </c>
    </row>
    <row r="25" spans="2:34" ht="27" customHeight="1" x14ac:dyDescent="0.15">
      <c r="B25" s="86" t="s">
        <v>22</v>
      </c>
      <c r="C25" s="87" t="s">
        <v>23</v>
      </c>
      <c r="D25" s="88"/>
      <c r="E25" s="89"/>
      <c r="F25" s="90"/>
      <c r="G25" s="89"/>
      <c r="H25" s="90"/>
      <c r="I25" s="91"/>
      <c r="K25" s="11" t="str">
        <f>IF(E25="","",LEN(E25)-LEN(SUBSTITUTE(SUBSTITUTE(E25," ",),"　",)))</f>
        <v/>
      </c>
      <c r="M25" s="11" t="str">
        <f>IF(G25="","",LEN(G25)-LEN(SUBSTITUTE(SUBSTITUTE(G25," ",),"　",)))</f>
        <v/>
      </c>
      <c r="O25" s="11" t="str">
        <f>IF(I25="","",LEN(I25)-LEN(SUBSTITUTE(SUBSTITUTE(I25," ",),"　",)))</f>
        <v/>
      </c>
      <c r="Q25" s="3">
        <f>COUNTA(E25,G25,I25,E27,G27,I27)</f>
        <v>0</v>
      </c>
      <c r="AE25" s="94" t="str">
        <f>B21&amp;D22&amp;E22</f>
        <v/>
      </c>
      <c r="AF25" s="93" t="str">
        <f t="shared" si="0"/>
        <v/>
      </c>
      <c r="AG25" s="94" t="str">
        <f>個人種目申込一覧表!AD45</f>
        <v/>
      </c>
      <c r="AH25" s="93" t="str">
        <f>IF(ISERROR(AG25=AF25),個人種目申込一覧表!E45,"")</f>
        <v/>
      </c>
    </row>
    <row r="26" spans="2:34" ht="27" customHeight="1" thickBot="1" x14ac:dyDescent="0.2">
      <c r="B26" s="95"/>
      <c r="C26" s="96" t="s">
        <v>86</v>
      </c>
      <c r="D26" s="97"/>
      <c r="E26" s="98"/>
      <c r="F26" s="99"/>
      <c r="G26" s="98"/>
      <c r="H26" s="99"/>
      <c r="I26" s="100"/>
      <c r="K26" s="101"/>
      <c r="L26" s="101"/>
      <c r="M26" s="101"/>
      <c r="N26" s="101"/>
      <c r="O26" s="101"/>
      <c r="R26" s="3" t="str">
        <f>IF(B26="","",B26&amp;C26)</f>
        <v/>
      </c>
      <c r="S26" s="3">
        <f>IF(R26="",0,R26)</f>
        <v>0</v>
      </c>
      <c r="T26" s="3">
        <f>IF(ISERROR(VLOOKUP(S26,$R$11:R25,1,FALSE)),1,VLOOKUP(S26,$R$11:R25,1,FALSE))</f>
        <v>1</v>
      </c>
      <c r="U26" s="3" t="str">
        <f>IF(S26=T26,1,"")</f>
        <v/>
      </c>
      <c r="V26" s="3" t="str">
        <f>IF(B28="","",IF(U26=1,B28,""))</f>
        <v/>
      </c>
      <c r="AE26" s="94" t="str">
        <f>B21&amp;F22&amp;G22</f>
        <v/>
      </c>
      <c r="AF26" s="93" t="str">
        <f t="shared" si="0"/>
        <v/>
      </c>
      <c r="AG26" s="94" t="str">
        <f>個人種目申込一覧表!AD47</f>
        <v/>
      </c>
      <c r="AH26" s="93" t="str">
        <f>IF(ISERROR(AG26=AF26),個人種目申込一覧表!E47,"")</f>
        <v/>
      </c>
    </row>
    <row r="27" spans="2:34" ht="27" customHeight="1" x14ac:dyDescent="0.15">
      <c r="B27" s="102" t="s">
        <v>24</v>
      </c>
      <c r="C27" s="103" t="s">
        <v>21</v>
      </c>
      <c r="D27" s="104"/>
      <c r="E27" s="105"/>
      <c r="F27" s="106"/>
      <c r="G27" s="105"/>
      <c r="H27" s="106"/>
      <c r="I27" s="107"/>
      <c r="K27" s="11" t="str">
        <f>IF(E27="","",LEN(E27)-LEN(SUBSTITUTE(SUBSTITUTE(E27," ",),"　",)))</f>
        <v/>
      </c>
      <c r="M27" s="11" t="str">
        <f>IF(G27="","",LEN(G27)-LEN(SUBSTITUTE(SUBSTITUTE(G27," ",),"　",)))</f>
        <v/>
      </c>
      <c r="O27" s="11" t="str">
        <f>IF(I27="","",LEN(I27)-LEN(SUBSTITUTE(SUBSTITUTE(I27," ",),"　",)))</f>
        <v/>
      </c>
      <c r="AE27" s="94" t="str">
        <f>B21&amp;H22&amp;I22</f>
        <v/>
      </c>
      <c r="AF27" s="93" t="str">
        <f t="shared" si="0"/>
        <v/>
      </c>
      <c r="AG27" s="94" t="str">
        <f>個人種目申込一覧表!AD49</f>
        <v/>
      </c>
      <c r="AH27" s="93" t="str">
        <f>IF(ISERROR(AG27=AF27),個人種目申込一覧表!E49,"")</f>
        <v/>
      </c>
    </row>
    <row r="28" spans="2:34" ht="27.75" customHeight="1" thickBot="1" x14ac:dyDescent="0.2">
      <c r="B28" s="158" t="str">
        <f>AA28</f>
        <v/>
      </c>
      <c r="C28" s="108"/>
      <c r="D28" s="109"/>
      <c r="E28" s="110"/>
      <c r="F28" s="111"/>
      <c r="G28" s="110"/>
      <c r="H28" s="111"/>
      <c r="I28" s="112"/>
      <c r="K28" s="255"/>
      <c r="L28" s="255"/>
      <c r="M28" s="255"/>
      <c r="N28" s="255"/>
      <c r="O28" s="255"/>
      <c r="P28" s="255"/>
      <c r="W28" s="152">
        <f>IF(B26="男子",COUNTIF($R$11:R27,"男子4x100mR"),IF(B26="中学男子",COUNTIF($R$11:R27,"中学男子4x100mR"),IF(B26="小学男子",COUNTIF($R$11:R27,"小学男子4x100mR"),0)))</f>
        <v>0</v>
      </c>
      <c r="X28" s="152">
        <f>IF(B26="女子",COUNTIF($S$11:S27,"女子4x100mR"),IF(B26="中学女子",COUNTIF($S$11:S27,"中学女子4x100mR"),IF(B26="小学女子",COUNTIF($S$11:S27,"小学女子4x100mR"),0)))</f>
        <v>0</v>
      </c>
      <c r="Y28" s="152">
        <f>IF(SUM(W28:$W$38)&gt;1,W28,0)</f>
        <v>0</v>
      </c>
      <c r="Z28" s="152">
        <f>IF(SUM(X28:$X$38)&gt;1,X28,0)</f>
        <v>0</v>
      </c>
      <c r="AA28" s="152" t="str">
        <f>IF(VLOOKUP(MAX(Y28:Z28),$AB$1:$AC$7,2,FALSE)=0,"",VLOOKUP(MAX(Y28:Z28),$AB$1:$AC$7,2,FALSE))</f>
        <v/>
      </c>
      <c r="AE28" s="94" t="str">
        <f>B26&amp;D25&amp;E25</f>
        <v/>
      </c>
      <c r="AF28" s="93" t="str">
        <f t="shared" si="0"/>
        <v/>
      </c>
      <c r="AG28" s="94" t="str">
        <f>個人種目申込一覧表!AD51</f>
        <v/>
      </c>
      <c r="AH28" s="93" t="str">
        <f>IF(ISERROR(AG28=AF28),個人種目申込一覧表!E51,"")</f>
        <v/>
      </c>
    </row>
    <row r="29" spans="2:34" ht="6" customHeight="1" x14ac:dyDescent="0.15">
      <c r="AE29" s="94" t="str">
        <f>B26&amp;F25&amp;G25</f>
        <v/>
      </c>
      <c r="AF29" s="93" t="str">
        <f t="shared" si="0"/>
        <v/>
      </c>
      <c r="AG29" s="94" t="str">
        <f>個人種目申込一覧表!AD53</f>
        <v/>
      </c>
      <c r="AH29" s="93" t="str">
        <f>IF(ISERROR(AG29=AF29),個人種目申込一覧表!E53,"")</f>
        <v/>
      </c>
    </row>
    <row r="30" spans="2:34" ht="27" hidden="1" customHeight="1" x14ac:dyDescent="0.15">
      <c r="B30" s="86" t="s">
        <v>22</v>
      </c>
      <c r="C30" s="87" t="s">
        <v>23</v>
      </c>
      <c r="D30" s="113"/>
      <c r="E30" s="114"/>
      <c r="F30" s="115"/>
      <c r="G30" s="114"/>
      <c r="H30" s="115"/>
      <c r="I30" s="116"/>
      <c r="J30" s="3">
        <f>COUNTA(E30,G30,I30,E32,G32,I32)</f>
        <v>0</v>
      </c>
      <c r="AE30" s="94" t="str">
        <f>B26&amp;H25&amp;I25</f>
        <v/>
      </c>
      <c r="AF30" s="93" t="str">
        <f t="shared" si="0"/>
        <v/>
      </c>
      <c r="AG30" s="94" t="str">
        <f>個人種目申込一覧表!AD55</f>
        <v/>
      </c>
      <c r="AH30" s="93" t="str">
        <f>IF(ISERROR(AG30=AF30),個人種目申込一覧表!E55,"")</f>
        <v/>
      </c>
    </row>
    <row r="31" spans="2:34" ht="27" hidden="1" customHeight="1" thickBot="1" x14ac:dyDescent="0.2">
      <c r="B31" s="117"/>
      <c r="C31" s="118"/>
      <c r="D31" s="119"/>
      <c r="E31" s="120"/>
      <c r="F31" s="121"/>
      <c r="G31" s="120"/>
      <c r="H31" s="121"/>
      <c r="I31" s="122"/>
      <c r="R31" s="3" t="str">
        <f>IF(B31="","",B31&amp;C31&amp;B33)</f>
        <v/>
      </c>
      <c r="S31" s="3">
        <f>IF(R31="",0,R31)</f>
        <v>0</v>
      </c>
      <c r="T31" s="3">
        <f>IF(ISERROR(VLOOKUP(S31,$R$11:R30,1,FALSE)),1,VLOOKUP(S31,$R$11:R30,1,FALSE))</f>
        <v>1</v>
      </c>
      <c r="U31" s="3" t="str">
        <f>IF(S31=T31,1,"")</f>
        <v/>
      </c>
      <c r="V31" s="3" t="str">
        <f>IF(B33="","",IF(U31=1,B33,""))</f>
        <v/>
      </c>
      <c r="AE31" s="94" t="str">
        <f>B26&amp;D27&amp;E27</f>
        <v/>
      </c>
      <c r="AF31" s="93" t="str">
        <f t="shared" si="0"/>
        <v/>
      </c>
      <c r="AG31" s="94" t="str">
        <f>個人種目申込一覧表!AD57</f>
        <v/>
      </c>
      <c r="AH31" s="93" t="str">
        <f>IF(ISERROR(AG31=AF31),個人種目申込一覧表!E57,"")</f>
        <v/>
      </c>
    </row>
    <row r="32" spans="2:34" ht="27" hidden="1" customHeight="1" x14ac:dyDescent="0.15">
      <c r="B32" s="102" t="s">
        <v>24</v>
      </c>
      <c r="C32" s="103" t="s">
        <v>21</v>
      </c>
      <c r="D32" s="123"/>
      <c r="E32" s="124"/>
      <c r="F32" s="125"/>
      <c r="G32" s="124"/>
      <c r="H32" s="125"/>
      <c r="I32" s="126"/>
      <c r="AE32" s="94" t="str">
        <f>B26&amp;F27&amp;G27</f>
        <v/>
      </c>
      <c r="AF32" s="93" t="str">
        <f t="shared" si="0"/>
        <v/>
      </c>
      <c r="AG32" s="94" t="str">
        <f>個人種目申込一覧表!AD59</f>
        <v/>
      </c>
      <c r="AH32" s="93" t="str">
        <f>IF(ISERROR(AG32=AF32),個人種目申込一覧表!E59,"")</f>
        <v/>
      </c>
    </row>
    <row r="33" spans="2:34" ht="27.75" hidden="1" customHeight="1" thickBot="1" x14ac:dyDescent="0.2">
      <c r="B33" s="127"/>
      <c r="C33" s="128"/>
      <c r="D33" s="129"/>
      <c r="E33" s="130"/>
      <c r="F33" s="131"/>
      <c r="G33" s="130"/>
      <c r="H33" s="131"/>
      <c r="I33" s="132"/>
      <c r="W33" s="152">
        <f>IF(B31="男子",COUNTIF($R$11:R32,"男子4×100mR"),0)</f>
        <v>0</v>
      </c>
      <c r="X33" s="152">
        <f>IF(B31="女子",COUNTIF($S$11:S32,"女子4×100mR"),0)</f>
        <v>0</v>
      </c>
      <c r="Y33" s="152">
        <f>IF(SUM(W33:$W$38)&gt;1,W33,0)</f>
        <v>0</v>
      </c>
      <c r="Z33" s="152">
        <f>IF(SUM(X33:$X$38)&gt;1,X33,0)</f>
        <v>0</v>
      </c>
      <c r="AA33" s="152" t="str">
        <f>IF(VLOOKUP(MAX(Y33:Z33),$AB$1:$AC$7,2,FALSE)=0,"",VLOOKUP(MAX(Y33:Z33),$AB$1:$AC$7,2,FALSE))</f>
        <v/>
      </c>
      <c r="AE33" s="94" t="str">
        <f>B26&amp;H27&amp;I27</f>
        <v/>
      </c>
      <c r="AF33" s="93" t="str">
        <f t="shared" si="0"/>
        <v/>
      </c>
      <c r="AG33" s="94" t="str">
        <f>個人種目申込一覧表!AD61</f>
        <v/>
      </c>
      <c r="AH33" s="93" t="str">
        <f>IF(ISERROR(AG33=AF33),個人種目申込一覧表!E61,"")</f>
        <v/>
      </c>
    </row>
    <row r="34" spans="2:34" ht="6" hidden="1" customHeight="1" thickBot="1" x14ac:dyDescent="0.2">
      <c r="AE34" s="94" t="str">
        <f>B31&amp;D30&amp;E30</f>
        <v/>
      </c>
      <c r="AF34" s="93" t="str">
        <f t="shared" si="0"/>
        <v/>
      </c>
      <c r="AG34" s="94" t="str">
        <f>個人種目申込一覧表!AD63</f>
        <v/>
      </c>
      <c r="AH34" s="93" t="str">
        <f>IF(ISERROR(AG34=AF34),個人種目申込一覧表!E63,"")</f>
        <v/>
      </c>
    </row>
    <row r="35" spans="2:34" ht="27" hidden="1" customHeight="1" x14ac:dyDescent="0.15">
      <c r="B35" s="86" t="s">
        <v>22</v>
      </c>
      <c r="C35" s="87" t="s">
        <v>23</v>
      </c>
      <c r="D35" s="113"/>
      <c r="E35" s="114"/>
      <c r="F35" s="115"/>
      <c r="G35" s="114"/>
      <c r="H35" s="115"/>
      <c r="I35" s="116"/>
      <c r="J35" s="3">
        <f>COUNTA(E35,G35,I35,E37,G37,I37)</f>
        <v>0</v>
      </c>
      <c r="AE35" s="94" t="str">
        <f>B31&amp;F30&amp;G30</f>
        <v/>
      </c>
      <c r="AF35" s="93" t="str">
        <f t="shared" si="0"/>
        <v/>
      </c>
      <c r="AG35" s="94" t="str">
        <f>個人種目申込一覧表!AD65</f>
        <v/>
      </c>
      <c r="AH35" s="93" t="str">
        <f>IF(ISERROR(AG35=AF35),個人種目申込一覧表!E65,"")</f>
        <v/>
      </c>
    </row>
    <row r="36" spans="2:34" ht="27" hidden="1" customHeight="1" thickBot="1" x14ac:dyDescent="0.2">
      <c r="B36" s="117"/>
      <c r="C36" s="118"/>
      <c r="D36" s="119"/>
      <c r="E36" s="120"/>
      <c r="F36" s="121"/>
      <c r="G36" s="120"/>
      <c r="H36" s="121"/>
      <c r="I36" s="122"/>
      <c r="R36" s="3" t="str">
        <f>IF(B36="","",B36&amp;C36&amp;B38)</f>
        <v/>
      </c>
      <c r="S36" s="3">
        <f>IF(R36="",0,R36)</f>
        <v>0</v>
      </c>
      <c r="T36" s="3">
        <f>IF(ISERROR(VLOOKUP(S36,$R$11:R35,1,FALSE)),1,VLOOKUP(S36,$R$11:R35,1,FALSE))</f>
        <v>1</v>
      </c>
      <c r="U36" s="3" t="str">
        <f>IF(S36=T36,1,"")</f>
        <v/>
      </c>
      <c r="V36" s="3" t="str">
        <f>IF(B38="","",IF(U36=1,B38,""))</f>
        <v/>
      </c>
      <c r="AE36" s="94" t="str">
        <f>B31&amp;H30&amp;I30</f>
        <v/>
      </c>
      <c r="AF36" s="93" t="str">
        <f t="shared" si="0"/>
        <v/>
      </c>
      <c r="AG36" s="94" t="str">
        <f>個人種目申込一覧表!AD67</f>
        <v/>
      </c>
      <c r="AH36" s="93" t="str">
        <f>IF(ISERROR(AG36=AF36),個人種目申込一覧表!E687,"")</f>
        <v/>
      </c>
    </row>
    <row r="37" spans="2:34" ht="27" hidden="1" customHeight="1" x14ac:dyDescent="0.15">
      <c r="B37" s="102" t="s">
        <v>24</v>
      </c>
      <c r="C37" s="103" t="s">
        <v>21</v>
      </c>
      <c r="D37" s="123"/>
      <c r="E37" s="124"/>
      <c r="F37" s="125"/>
      <c r="G37" s="124"/>
      <c r="H37" s="125"/>
      <c r="I37" s="126"/>
      <c r="AE37" s="94" t="str">
        <f>B31&amp;D32&amp;E32</f>
        <v/>
      </c>
      <c r="AF37" s="93" t="str">
        <f t="shared" si="0"/>
        <v/>
      </c>
      <c r="AG37" s="94" t="str">
        <f>個人種目申込一覧表!AD69</f>
        <v/>
      </c>
      <c r="AH37" s="93" t="str">
        <f>IF(ISERROR(AG37=AF37),個人種目申込一覧表!E69,"")</f>
        <v/>
      </c>
    </row>
    <row r="38" spans="2:34" ht="27.75" hidden="1" customHeight="1" thickBot="1" x14ac:dyDescent="0.2">
      <c r="B38" s="127"/>
      <c r="C38" s="128"/>
      <c r="D38" s="129"/>
      <c r="E38" s="130"/>
      <c r="F38" s="131"/>
      <c r="G38" s="130"/>
      <c r="H38" s="131"/>
      <c r="I38" s="132"/>
      <c r="W38" s="152">
        <f>IF(B36="男子",COUNTIF($R$11:R37,"男子4×100mR"),0)</f>
        <v>0</v>
      </c>
      <c r="X38" s="152">
        <f>IF(B36="女子",COUNTIF($S$11:S37,"女子4×100mR"),0)</f>
        <v>0</v>
      </c>
      <c r="Y38" s="152">
        <f>IF(SUM(W38:$W$38)&gt;1,W38,0)</f>
        <v>0</v>
      </c>
      <c r="Z38" s="152">
        <f>IF(SUM(X38:$X$38)&gt;1,X38,0)</f>
        <v>0</v>
      </c>
      <c r="AA38" s="152" t="str">
        <f>IF(VLOOKUP(MAX(Y38:Z38),$AB$1:$AC$7,2,FALSE)=0,"",VLOOKUP(MAX(Y38:Z38),$AB$1:$AC$7,2,FALSE))</f>
        <v/>
      </c>
      <c r="AE38" s="94" t="str">
        <f>B31&amp;F32&amp;G32</f>
        <v/>
      </c>
      <c r="AF38" s="93" t="str">
        <f t="shared" si="0"/>
        <v/>
      </c>
      <c r="AG38" s="94" t="str">
        <f>個人種目申込一覧表!AD71</f>
        <v/>
      </c>
      <c r="AH38" s="93" t="str">
        <f>IF(ISERROR(AG38=AF38),個人種目申込一覧表!E71,"")</f>
        <v/>
      </c>
    </row>
    <row r="39" spans="2:34" ht="6" hidden="1" customHeight="1" thickBot="1" x14ac:dyDescent="0.2">
      <c r="AE39" s="94" t="str">
        <f>B31&amp;H32&amp;I32</f>
        <v/>
      </c>
      <c r="AF39" s="93" t="str">
        <f t="shared" si="0"/>
        <v/>
      </c>
      <c r="AG39" s="94" t="str">
        <f>個人種目申込一覧表!AD73</f>
        <v/>
      </c>
      <c r="AH39" s="93" t="str">
        <f>IF(ISERROR(AG39=AF39),個人種目申込一覧表!E73,"")</f>
        <v/>
      </c>
    </row>
    <row r="40" spans="2:34" ht="27" hidden="1" customHeight="1" x14ac:dyDescent="0.15">
      <c r="B40" s="86" t="s">
        <v>22</v>
      </c>
      <c r="C40" s="87" t="s">
        <v>23</v>
      </c>
      <c r="D40" s="113"/>
      <c r="E40" s="114"/>
      <c r="F40" s="115"/>
      <c r="G40" s="114"/>
      <c r="H40" s="115"/>
      <c r="I40" s="116"/>
      <c r="J40" s="3">
        <f>COUNTA(E40,G40,I40,E42,G42,I42)</f>
        <v>0</v>
      </c>
      <c r="AE40" s="94" t="str">
        <f>B36&amp;D35&amp;E35</f>
        <v/>
      </c>
      <c r="AF40" s="93" t="str">
        <f t="shared" si="0"/>
        <v/>
      </c>
      <c r="AG40" s="94" t="str">
        <f>個人種目申込一覧表!AD75</f>
        <v/>
      </c>
      <c r="AH40" s="93" t="str">
        <f>IF(ISERROR(AG40=AF40),個人種目申込一覧表!E75,"")</f>
        <v/>
      </c>
    </row>
    <row r="41" spans="2:34" ht="27" hidden="1" customHeight="1" thickBot="1" x14ac:dyDescent="0.2">
      <c r="B41" s="117"/>
      <c r="C41" s="118"/>
      <c r="D41" s="119"/>
      <c r="E41" s="120"/>
      <c r="F41" s="121"/>
      <c r="G41" s="120"/>
      <c r="H41" s="121"/>
      <c r="I41" s="122"/>
      <c r="AE41" s="94" t="str">
        <f>B36&amp;F35&amp;G35</f>
        <v/>
      </c>
      <c r="AF41" s="93" t="str">
        <f t="shared" si="0"/>
        <v/>
      </c>
      <c r="AG41" s="94" t="str">
        <f>個人種目申込一覧表!AD77</f>
        <v/>
      </c>
      <c r="AH41" s="93" t="str">
        <f>IF(ISERROR(AG41=AF41),個人種目申込一覧表!E77,"")</f>
        <v/>
      </c>
    </row>
    <row r="42" spans="2:34" ht="27" hidden="1" customHeight="1" x14ac:dyDescent="0.15">
      <c r="B42" s="102" t="s">
        <v>24</v>
      </c>
      <c r="C42" s="103" t="s">
        <v>21</v>
      </c>
      <c r="D42" s="123"/>
      <c r="E42" s="124"/>
      <c r="F42" s="125"/>
      <c r="G42" s="124"/>
      <c r="H42" s="125"/>
      <c r="I42" s="126"/>
      <c r="AE42" s="94" t="str">
        <f>B36&amp;H35&amp;I35</f>
        <v/>
      </c>
      <c r="AF42" s="93" t="str">
        <f t="shared" si="0"/>
        <v/>
      </c>
      <c r="AG42" s="94" t="str">
        <f>個人種目申込一覧表!AD79</f>
        <v/>
      </c>
      <c r="AH42" s="93" t="str">
        <f>IF(ISERROR(AG42=AF42),個人種目申込一覧表!E79,"")</f>
        <v/>
      </c>
    </row>
    <row r="43" spans="2:34" ht="27.75" hidden="1" customHeight="1" thickBot="1" x14ac:dyDescent="0.2">
      <c r="B43" s="127"/>
      <c r="C43" s="128"/>
      <c r="D43" s="129"/>
      <c r="E43" s="130"/>
      <c r="F43" s="131"/>
      <c r="G43" s="130"/>
      <c r="H43" s="131"/>
      <c r="I43" s="132"/>
      <c r="AE43" s="94" t="str">
        <f>B36&amp;D37&amp;E37</f>
        <v/>
      </c>
      <c r="AF43" s="93" t="str">
        <f t="shared" si="0"/>
        <v/>
      </c>
      <c r="AG43" s="94" t="str">
        <f>個人種目申込一覧表!AD81</f>
        <v/>
      </c>
      <c r="AH43" s="93" t="str">
        <f>IF(ISERROR(AG43=AF43),個人種目申込一覧表!E81,"")</f>
        <v/>
      </c>
    </row>
    <row r="44" spans="2:34" ht="6" hidden="1" customHeight="1" thickBot="1" x14ac:dyDescent="0.2">
      <c r="AE44" s="94" t="str">
        <f>B36&amp;F37&amp;G37</f>
        <v/>
      </c>
      <c r="AF44" s="93" t="str">
        <f t="shared" si="0"/>
        <v/>
      </c>
      <c r="AG44" s="94" t="str">
        <f>個人種目申込一覧表!AD83</f>
        <v/>
      </c>
      <c r="AH44" s="93" t="str">
        <f>IF(ISERROR(AG44=AF44),個人種目申込一覧表!E83,"")</f>
        <v/>
      </c>
    </row>
    <row r="45" spans="2:34" ht="27" hidden="1" customHeight="1" x14ac:dyDescent="0.15">
      <c r="B45" s="86" t="s">
        <v>22</v>
      </c>
      <c r="C45" s="87" t="s">
        <v>23</v>
      </c>
      <c r="D45" s="113"/>
      <c r="E45" s="114"/>
      <c r="F45" s="115"/>
      <c r="G45" s="114"/>
      <c r="H45" s="115"/>
      <c r="I45" s="116"/>
      <c r="J45" s="3">
        <f>COUNTA(E45,G45,I45,E47,G47,I47)</f>
        <v>0</v>
      </c>
      <c r="AE45" s="94" t="str">
        <f>B36&amp;H37&amp;I37</f>
        <v/>
      </c>
      <c r="AF45" s="93" t="str">
        <f t="shared" si="0"/>
        <v/>
      </c>
      <c r="AG45" s="94" t="str">
        <f>個人種目申込一覧表!AD85</f>
        <v/>
      </c>
      <c r="AH45" s="93" t="str">
        <f>IF(ISERROR(AG45=AF45),個人種目申込一覧表!E85,"")</f>
        <v/>
      </c>
    </row>
    <row r="46" spans="2:34" ht="27" hidden="1" customHeight="1" thickBot="1" x14ac:dyDescent="0.2">
      <c r="B46" s="117"/>
      <c r="C46" s="118"/>
      <c r="D46" s="119"/>
      <c r="E46" s="120"/>
      <c r="F46" s="121"/>
      <c r="G46" s="120"/>
      <c r="H46" s="121"/>
      <c r="I46" s="122"/>
      <c r="AF46" s="93" t="str">
        <f t="shared" si="0"/>
        <v/>
      </c>
      <c r="AG46" s="94" t="str">
        <f>個人種目申込一覧表!AD87</f>
        <v/>
      </c>
      <c r="AH46" s="93" t="str">
        <f>IF(ISERROR(AG46=AF46),個人種目申込一覧表!E87,"")</f>
        <v/>
      </c>
    </row>
    <row r="47" spans="2:34" ht="27" hidden="1" customHeight="1" x14ac:dyDescent="0.15">
      <c r="B47" s="102" t="s">
        <v>24</v>
      </c>
      <c r="C47" s="103" t="s">
        <v>21</v>
      </c>
      <c r="D47" s="123"/>
      <c r="E47" s="124"/>
      <c r="F47" s="125"/>
      <c r="G47" s="124"/>
      <c r="H47" s="125"/>
      <c r="I47" s="126"/>
      <c r="AF47" s="93" t="str">
        <f t="shared" si="0"/>
        <v/>
      </c>
      <c r="AG47" s="94" t="str">
        <f>個人種目申込一覧表!AD89</f>
        <v/>
      </c>
      <c r="AH47" s="93" t="str">
        <f>IF(ISERROR(AG47=AF47),個人種目申込一覧表!E89,"")</f>
        <v/>
      </c>
    </row>
    <row r="48" spans="2:34" ht="27.75" hidden="1" customHeight="1" thickBot="1" x14ac:dyDescent="0.2">
      <c r="B48" s="127"/>
      <c r="C48" s="128"/>
      <c r="D48" s="129"/>
      <c r="E48" s="130"/>
      <c r="F48" s="131"/>
      <c r="G48" s="130"/>
      <c r="H48" s="131"/>
      <c r="I48" s="132"/>
      <c r="AF48" s="93" t="str">
        <f t="shared" si="0"/>
        <v/>
      </c>
      <c r="AG48" s="94" t="str">
        <f>個人種目申込一覧表!AD91</f>
        <v/>
      </c>
      <c r="AH48" s="93" t="str">
        <f>IF(ISERROR(AG48=AF48),個人種目申込一覧表!E91,"")</f>
        <v/>
      </c>
    </row>
    <row r="49" spans="2:34" ht="6" hidden="1" customHeight="1" thickBot="1" x14ac:dyDescent="0.2">
      <c r="AF49" s="93" t="str">
        <f t="shared" si="0"/>
        <v/>
      </c>
      <c r="AG49" s="94" t="str">
        <f>個人種目申込一覧表!AD93</f>
        <v/>
      </c>
      <c r="AH49" s="93" t="str">
        <f>IF(ISERROR(AG49=AF49),個人種目申込一覧表!E93,"")</f>
        <v/>
      </c>
    </row>
    <row r="50" spans="2:34" ht="27" hidden="1" customHeight="1" x14ac:dyDescent="0.15">
      <c r="B50" s="86" t="s">
        <v>22</v>
      </c>
      <c r="C50" s="87" t="s">
        <v>23</v>
      </c>
      <c r="D50" s="113"/>
      <c r="E50" s="114"/>
      <c r="F50" s="115"/>
      <c r="G50" s="114"/>
      <c r="H50" s="115"/>
      <c r="I50" s="116"/>
      <c r="J50" s="3">
        <f>COUNTA(E50,G50,I50,E52,G52,I52)</f>
        <v>0</v>
      </c>
      <c r="AF50" s="93" t="str">
        <f t="shared" si="0"/>
        <v/>
      </c>
      <c r="AG50" s="94" t="str">
        <f>個人種目申込一覧表!AD95</f>
        <v/>
      </c>
      <c r="AH50" s="93" t="str">
        <f>IF(ISERROR(AG50=AF50),個人種目申込一覧表!E95,"")</f>
        <v/>
      </c>
    </row>
    <row r="51" spans="2:34" ht="27" hidden="1" customHeight="1" thickBot="1" x14ac:dyDescent="0.2">
      <c r="B51" s="117"/>
      <c r="C51" s="118"/>
      <c r="D51" s="119"/>
      <c r="E51" s="120"/>
      <c r="F51" s="121"/>
      <c r="G51" s="120"/>
      <c r="H51" s="121"/>
      <c r="I51" s="122"/>
      <c r="AF51" s="93" t="str">
        <f t="shared" si="0"/>
        <v/>
      </c>
      <c r="AG51" s="94" t="str">
        <f>個人種目申込一覧表!AD97</f>
        <v/>
      </c>
      <c r="AH51" s="93" t="str">
        <f>IF(ISERROR(AG51=AF51),個人種目申込一覧表!E97,"")</f>
        <v/>
      </c>
    </row>
    <row r="52" spans="2:34" ht="27" hidden="1" customHeight="1" x14ac:dyDescent="0.15">
      <c r="B52" s="102" t="s">
        <v>24</v>
      </c>
      <c r="C52" s="103" t="s">
        <v>21</v>
      </c>
      <c r="D52" s="123"/>
      <c r="E52" s="124"/>
      <c r="F52" s="125"/>
      <c r="G52" s="124"/>
      <c r="H52" s="125"/>
      <c r="I52" s="126"/>
      <c r="AF52" s="93" t="str">
        <f t="shared" si="0"/>
        <v/>
      </c>
      <c r="AG52" s="94" t="str">
        <f>個人種目申込一覧表!AD99</f>
        <v/>
      </c>
      <c r="AH52" s="93" t="str">
        <f>IF(ISERROR(AG52=AF52),個人種目申込一覧表!E99,"")</f>
        <v/>
      </c>
    </row>
    <row r="53" spans="2:34" ht="27.75" hidden="1" customHeight="1" thickBot="1" x14ac:dyDescent="0.2">
      <c r="B53" s="127"/>
      <c r="C53" s="128"/>
      <c r="D53" s="129"/>
      <c r="E53" s="130"/>
      <c r="F53" s="131"/>
      <c r="G53" s="130"/>
      <c r="H53" s="131"/>
      <c r="I53" s="132"/>
      <c r="AF53" s="93" t="str">
        <f t="shared" si="0"/>
        <v/>
      </c>
      <c r="AG53" s="94" t="str">
        <f>個人種目申込一覧表!AD101</f>
        <v/>
      </c>
      <c r="AH53" s="93" t="str">
        <f>IF(ISERROR(AG53=AF53),個人種目申込一覧表!E101,"")</f>
        <v/>
      </c>
    </row>
    <row r="54" spans="2:34" ht="6" hidden="1" customHeight="1" thickBot="1" x14ac:dyDescent="0.2">
      <c r="AF54" s="93" t="str">
        <f t="shared" si="0"/>
        <v/>
      </c>
      <c r="AG54" s="94" t="str">
        <f>個人種目申込一覧表!AD103</f>
        <v/>
      </c>
      <c r="AH54" s="93" t="str">
        <f>IF(ISERROR(AG54=AF54),個人種目申込一覧表!E103,"")</f>
        <v/>
      </c>
    </row>
    <row r="55" spans="2:34" ht="27" hidden="1" customHeight="1" x14ac:dyDescent="0.15">
      <c r="B55" s="86" t="s">
        <v>22</v>
      </c>
      <c r="C55" s="87" t="s">
        <v>23</v>
      </c>
      <c r="D55" s="113"/>
      <c r="E55" s="114"/>
      <c r="F55" s="115"/>
      <c r="G55" s="114"/>
      <c r="H55" s="115"/>
      <c r="I55" s="116"/>
      <c r="J55" s="3">
        <f>COUNTA(E55,G55,I55,E57,G57,I57)</f>
        <v>0</v>
      </c>
      <c r="AF55" s="93" t="str">
        <f t="shared" si="0"/>
        <v/>
      </c>
      <c r="AG55" s="94" t="str">
        <f>個人種目申込一覧表!AD105</f>
        <v/>
      </c>
      <c r="AH55" s="93" t="str">
        <f>IF(ISERROR(AG55=AF55),個人種目申込一覧表105,"")</f>
        <v/>
      </c>
    </row>
    <row r="56" spans="2:34" ht="27" hidden="1" customHeight="1" thickBot="1" x14ac:dyDescent="0.2">
      <c r="B56" s="117"/>
      <c r="C56" s="118"/>
      <c r="D56" s="119"/>
      <c r="E56" s="120"/>
      <c r="F56" s="121"/>
      <c r="G56" s="120"/>
      <c r="H56" s="121"/>
      <c r="I56" s="122"/>
      <c r="AF56" s="93" t="str">
        <f t="shared" si="0"/>
        <v/>
      </c>
      <c r="AG56" s="94" t="str">
        <f>個人種目申込一覧表!AD107</f>
        <v/>
      </c>
      <c r="AH56" s="93" t="str">
        <f>IF(ISERROR(AG56=AF56),個人種目申込一覧表!E107,"")</f>
        <v/>
      </c>
    </row>
    <row r="57" spans="2:34" ht="27" hidden="1" customHeight="1" x14ac:dyDescent="0.15">
      <c r="B57" s="102" t="s">
        <v>24</v>
      </c>
      <c r="C57" s="103" t="s">
        <v>21</v>
      </c>
      <c r="D57" s="123"/>
      <c r="E57" s="124"/>
      <c r="F57" s="125"/>
      <c r="G57" s="124"/>
      <c r="H57" s="125"/>
      <c r="I57" s="126"/>
      <c r="AF57" s="93" t="str">
        <f t="shared" si="0"/>
        <v/>
      </c>
      <c r="AG57" s="94" t="str">
        <f>個人種目申込一覧表!AD109</f>
        <v/>
      </c>
      <c r="AH57" s="93" t="str">
        <f>IF(ISERROR(AG57=AF57),個人種目申込一覧表!E109,"")</f>
        <v/>
      </c>
    </row>
    <row r="58" spans="2:34" ht="27.75" hidden="1" customHeight="1" thickBot="1" x14ac:dyDescent="0.2">
      <c r="B58" s="127"/>
      <c r="C58" s="128"/>
      <c r="D58" s="129"/>
      <c r="E58" s="130"/>
      <c r="F58" s="131"/>
      <c r="G58" s="130"/>
      <c r="H58" s="131"/>
      <c r="I58" s="132"/>
      <c r="AF58" s="93" t="str">
        <f t="shared" si="0"/>
        <v/>
      </c>
      <c r="AG58" s="94" t="str">
        <f>個人種目申込一覧表!AD111</f>
        <v/>
      </c>
      <c r="AH58" s="93" t="str">
        <f>IF(ISERROR(AG58=AF58),個人種目申込一覧表!E111,"")</f>
        <v/>
      </c>
    </row>
    <row r="59" spans="2:34" ht="6" hidden="1" customHeight="1" thickBot="1" x14ac:dyDescent="0.2">
      <c r="AF59" s="93" t="str">
        <f t="shared" si="0"/>
        <v/>
      </c>
      <c r="AG59" s="94" t="str">
        <f>個人種目申込一覧表!AD113</f>
        <v/>
      </c>
      <c r="AH59" s="93" t="str">
        <f>IF(ISERROR(AG59=AF59),個人種目申込一覧表!E113,"")</f>
        <v/>
      </c>
    </row>
    <row r="60" spans="2:34" ht="27" hidden="1" customHeight="1" x14ac:dyDescent="0.15">
      <c r="B60" s="86" t="s">
        <v>22</v>
      </c>
      <c r="C60" s="87" t="s">
        <v>23</v>
      </c>
      <c r="D60" s="113"/>
      <c r="E60" s="114"/>
      <c r="F60" s="115"/>
      <c r="G60" s="114"/>
      <c r="H60" s="115"/>
      <c r="I60" s="116"/>
      <c r="J60" s="3">
        <f>COUNTA(E60,G60,I60,E62,G62,I62)</f>
        <v>0</v>
      </c>
    </row>
    <row r="61" spans="2:34" ht="27" hidden="1" customHeight="1" thickBot="1" x14ac:dyDescent="0.2">
      <c r="B61" s="117"/>
      <c r="C61" s="118"/>
      <c r="D61" s="119"/>
      <c r="E61" s="120"/>
      <c r="F61" s="121"/>
      <c r="G61" s="120"/>
      <c r="H61" s="121"/>
      <c r="I61" s="122"/>
    </row>
    <row r="62" spans="2:34" ht="27" hidden="1" customHeight="1" x14ac:dyDescent="0.15">
      <c r="B62" s="102" t="s">
        <v>24</v>
      </c>
      <c r="C62" s="103" t="s">
        <v>21</v>
      </c>
      <c r="D62" s="123"/>
      <c r="E62" s="124"/>
      <c r="F62" s="125"/>
      <c r="G62" s="124"/>
      <c r="H62" s="125"/>
      <c r="I62" s="126"/>
    </row>
    <row r="63" spans="2:34" ht="27.75" hidden="1" customHeight="1" thickBot="1" x14ac:dyDescent="0.2">
      <c r="B63" s="127"/>
      <c r="C63" s="128"/>
      <c r="D63" s="129"/>
      <c r="E63" s="130"/>
      <c r="F63" s="131"/>
      <c r="G63" s="130"/>
      <c r="H63" s="131"/>
      <c r="I63" s="132"/>
    </row>
    <row r="64" spans="2:34" ht="6" hidden="1" customHeight="1" thickBot="1" x14ac:dyDescent="0.2"/>
    <row r="65" spans="2:10" ht="27" hidden="1" customHeight="1" x14ac:dyDescent="0.15">
      <c r="B65" s="86" t="s">
        <v>22</v>
      </c>
      <c r="C65" s="87" t="s">
        <v>23</v>
      </c>
      <c r="D65" s="113"/>
      <c r="E65" s="114"/>
      <c r="F65" s="115"/>
      <c r="G65" s="114"/>
      <c r="H65" s="115"/>
      <c r="I65" s="116"/>
      <c r="J65" s="3">
        <f>COUNTA(E65,G65,I65,E67,G67,I67)</f>
        <v>0</v>
      </c>
    </row>
    <row r="66" spans="2:10" ht="27" hidden="1" customHeight="1" thickBot="1" x14ac:dyDescent="0.2">
      <c r="B66" s="117"/>
      <c r="C66" s="118"/>
      <c r="D66" s="119"/>
      <c r="E66" s="120"/>
      <c r="F66" s="121"/>
      <c r="G66" s="120"/>
      <c r="H66" s="121"/>
      <c r="I66" s="122"/>
    </row>
    <row r="67" spans="2:10" ht="27" hidden="1" customHeight="1" x14ac:dyDescent="0.15">
      <c r="B67" s="102" t="s">
        <v>24</v>
      </c>
      <c r="C67" s="103" t="s">
        <v>21</v>
      </c>
      <c r="D67" s="123"/>
      <c r="E67" s="124"/>
      <c r="F67" s="125"/>
      <c r="G67" s="124"/>
      <c r="H67" s="125"/>
      <c r="I67" s="126"/>
    </row>
    <row r="68" spans="2:10" ht="27.75" hidden="1" customHeight="1" thickBot="1" x14ac:dyDescent="0.2">
      <c r="B68" s="127"/>
      <c r="C68" s="128"/>
      <c r="D68" s="129"/>
      <c r="E68" s="130"/>
      <c r="F68" s="131"/>
      <c r="G68" s="130"/>
      <c r="H68" s="131"/>
      <c r="I68" s="132"/>
    </row>
    <row r="69" spans="2:10" ht="21" customHeight="1" x14ac:dyDescent="0.15"/>
    <row r="70" spans="2:10" ht="21" customHeight="1" x14ac:dyDescent="0.15"/>
  </sheetData>
  <sheetProtection algorithmName="SHA-512" hashValue="aisjD6K9CGwXQohhc0PVwfMv7olYRsczqeVppwzkpsglbAGmft/V7Ey8/BixyXVqRVOwkQvljt4aoB9guFYvAw==" saltValue="Ibre6uQlnj17IGjD6Q+Z6w==" spinCount="100000" sheet="1" selectLockedCells="1"/>
  <mergeCells count="4">
    <mergeCell ref="B1:F1"/>
    <mergeCell ref="K23:P23"/>
    <mergeCell ref="K28:P28"/>
    <mergeCell ref="K2:P8"/>
  </mergeCells>
  <phoneticPr fontId="2"/>
  <conditionalFormatting sqref="B11 B16 B31 B36 B41 B46 B51 B56 B61 B66 B21 B26">
    <cfRule type="expression" dxfId="135" priority="315" stopIfTrue="1">
      <formula>NOT(ISERROR(SEARCH("男",$B11)))</formula>
    </cfRule>
  </conditionalFormatting>
  <conditionalFormatting sqref="B11 B16 B31 B36 B41 B46 B51 B56 B61 B66">
    <cfRule type="expression" dxfId="134" priority="314" stopIfTrue="1">
      <formula>NOT(ISERROR(SEARCH("女",$B11)))</formula>
    </cfRule>
  </conditionalFormatting>
  <conditionalFormatting sqref="B11">
    <cfRule type="expression" dxfId="133" priority="254" stopIfTrue="1">
      <formula>AND(B11="",E10&gt;0)</formula>
    </cfRule>
  </conditionalFormatting>
  <conditionalFormatting sqref="B13">
    <cfRule type="expression" dxfId="132" priority="142" stopIfTrue="1">
      <formula>NOT(ISERROR(SEARCH("男",$B11)))</formula>
    </cfRule>
    <cfRule type="expression" dxfId="131" priority="141" stopIfTrue="1">
      <formula>NOT(ISERROR(SEARCH("女",$B11)))</formula>
    </cfRule>
  </conditionalFormatting>
  <conditionalFormatting sqref="B16">
    <cfRule type="expression" dxfId="130" priority="7" stopIfTrue="1">
      <formula>AND(B16="",E15&gt;0)</formula>
    </cfRule>
  </conditionalFormatting>
  <conditionalFormatting sqref="B18">
    <cfRule type="expression" dxfId="129" priority="140" stopIfTrue="1">
      <formula>NOT(ISERROR(SEARCH("男",$B16)))</formula>
    </cfRule>
  </conditionalFormatting>
  <conditionalFormatting sqref="B21">
    <cfRule type="expression" dxfId="128" priority="6" stopIfTrue="1">
      <formula>AND(B21="",E20&gt;0)</formula>
    </cfRule>
  </conditionalFormatting>
  <conditionalFormatting sqref="B23">
    <cfRule type="expression" dxfId="127" priority="138" stopIfTrue="1">
      <formula>NOT(ISERROR(SEARCH("男",$B21)))</formula>
    </cfRule>
  </conditionalFormatting>
  <conditionalFormatting sqref="B26">
    <cfRule type="expression" dxfId="126" priority="5" stopIfTrue="1">
      <formula>AND(B26="",E25&gt;0)</formula>
    </cfRule>
  </conditionalFormatting>
  <conditionalFormatting sqref="B28">
    <cfRule type="expression" dxfId="125" priority="136" stopIfTrue="1">
      <formula>NOT(ISERROR(SEARCH("男",$B26)))</formula>
    </cfRule>
  </conditionalFormatting>
  <conditionalFormatting sqref="B18:I18">
    <cfRule type="expression" dxfId="124" priority="79" stopIfTrue="1">
      <formula>NOT(ISERROR(SEARCH("女",$B16)))</formula>
    </cfRule>
  </conditionalFormatting>
  <conditionalFormatting sqref="B21:I21">
    <cfRule type="expression" dxfId="123" priority="57" stopIfTrue="1">
      <formula>NOT(ISERROR(SEARCH("女",$B21)))</formula>
    </cfRule>
  </conditionalFormatting>
  <conditionalFormatting sqref="B23:I23">
    <cfRule type="expression" dxfId="122" priority="53" stopIfTrue="1">
      <formula>NOT(ISERROR(SEARCH("女",$B21)))</formula>
    </cfRule>
  </conditionalFormatting>
  <conditionalFormatting sqref="B26:I26">
    <cfRule type="expression" dxfId="121" priority="31" stopIfTrue="1">
      <formula>NOT(ISERROR(SEARCH("女",$B26)))</formula>
    </cfRule>
  </conditionalFormatting>
  <conditionalFormatting sqref="B28:I28">
    <cfRule type="expression" dxfId="120" priority="27" stopIfTrue="1">
      <formula>NOT(ISERROR(SEARCH("女",$B26)))</formula>
    </cfRule>
  </conditionalFormatting>
  <conditionalFormatting sqref="C11">
    <cfRule type="expression" dxfId="119" priority="134" stopIfTrue="1">
      <formula>NOT(ISERROR(SEARCH("女",$B11)))</formula>
    </cfRule>
    <cfRule type="expression" dxfId="118" priority="133" stopIfTrue="1">
      <formula>NOT(ISERROR(SEARCH("男",$B11)))</formula>
    </cfRule>
  </conditionalFormatting>
  <conditionalFormatting sqref="C16">
    <cfRule type="expression" dxfId="117" priority="2" stopIfTrue="1">
      <formula>NOT(ISERROR(SEARCH("女",$B16)))</formula>
    </cfRule>
    <cfRule type="expression" dxfId="116" priority="1" stopIfTrue="1">
      <formula>NOT(ISERROR(SEARCH("男",$B16)))</formula>
    </cfRule>
  </conditionalFormatting>
  <conditionalFormatting sqref="C13:I13">
    <cfRule type="expression" dxfId="115" priority="301" stopIfTrue="1">
      <formula>NOT(ISERROR(SEARCH("女",$B11)))</formula>
    </cfRule>
    <cfRule type="expression" dxfId="114" priority="300" stopIfTrue="1">
      <formula>NOT(ISERROR(SEARCH("男",$B11)))</formula>
    </cfRule>
  </conditionalFormatting>
  <conditionalFormatting sqref="C18:I18">
    <cfRule type="expression" dxfId="113" priority="78" stopIfTrue="1">
      <formula>NOT(ISERROR(SEARCH("男",$B16)))</formula>
    </cfRule>
  </conditionalFormatting>
  <conditionalFormatting sqref="C21:I21">
    <cfRule type="expression" dxfId="112" priority="56" stopIfTrue="1">
      <formula>NOT(ISERROR(SEARCH("男",$B21)))</formula>
    </cfRule>
  </conditionalFormatting>
  <conditionalFormatting sqref="C23:I23">
    <cfRule type="expression" dxfId="111" priority="52" stopIfTrue="1">
      <formula>NOT(ISERROR(SEARCH("男",$B21)))</formula>
    </cfRule>
  </conditionalFormatting>
  <conditionalFormatting sqref="C26:I26">
    <cfRule type="expression" dxfId="110" priority="30" stopIfTrue="1">
      <formula>NOT(ISERROR(SEARCH("男",$B26)))</formula>
    </cfRule>
  </conditionalFormatting>
  <conditionalFormatting sqref="C28:I28">
    <cfRule type="expression" dxfId="109" priority="26" stopIfTrue="1">
      <formula>NOT(ISERROR(SEARCH("男",$B26)))</formula>
    </cfRule>
  </conditionalFormatting>
  <conditionalFormatting sqref="D10:I10">
    <cfRule type="expression" dxfId="108" priority="307" stopIfTrue="1">
      <formula>NOT(ISERROR(SEARCH("女",$B11)))</formula>
    </cfRule>
    <cfRule type="expression" dxfId="107" priority="306" stopIfTrue="1">
      <formula>NOT(ISERROR(SEARCH("男",$B11)))</formula>
    </cfRule>
  </conditionalFormatting>
  <conditionalFormatting sqref="D11:I11">
    <cfRule type="expression" dxfId="106" priority="304" stopIfTrue="1">
      <formula>NOT(ISERROR(SEARCH("男",$B11)))</formula>
    </cfRule>
    <cfRule type="expression" dxfId="105" priority="305" stopIfTrue="1">
      <formula>NOT(ISERROR(SEARCH("女",$B11)))</formula>
    </cfRule>
  </conditionalFormatting>
  <conditionalFormatting sqref="D12:I12">
    <cfRule type="expression" dxfId="104" priority="302" stopIfTrue="1">
      <formula>NOT(ISERROR(SEARCH("男",$B11)))</formula>
    </cfRule>
    <cfRule type="expression" dxfId="103" priority="303" stopIfTrue="1">
      <formula>NOT(ISERROR(SEARCH("女",$B11)))</formula>
    </cfRule>
  </conditionalFormatting>
  <conditionalFormatting sqref="D15:I15">
    <cfRule type="expression" dxfId="102" priority="85" stopIfTrue="1">
      <formula>NOT(ISERROR(SEARCH("女",$B16)))</formula>
    </cfRule>
    <cfRule type="expression" dxfId="101" priority="84" stopIfTrue="1">
      <formula>NOT(ISERROR(SEARCH("男",$B16)))</formula>
    </cfRule>
  </conditionalFormatting>
  <conditionalFormatting sqref="D16:I16">
    <cfRule type="expression" dxfId="100" priority="83" stopIfTrue="1">
      <formula>NOT(ISERROR(SEARCH("女",$B16)))</formula>
    </cfRule>
    <cfRule type="expression" dxfId="99" priority="82" stopIfTrue="1">
      <formula>NOT(ISERROR(SEARCH("男",$B16)))</formula>
    </cfRule>
  </conditionalFormatting>
  <conditionalFormatting sqref="D17:I17">
    <cfRule type="expression" dxfId="98" priority="81" stopIfTrue="1">
      <formula>NOT(ISERROR(SEARCH("女",$B16)))</formula>
    </cfRule>
    <cfRule type="expression" dxfId="97" priority="80" stopIfTrue="1">
      <formula>NOT(ISERROR(SEARCH("男",$B16)))</formula>
    </cfRule>
  </conditionalFormatting>
  <conditionalFormatting sqref="D20:I20">
    <cfRule type="expression" dxfId="96" priority="59" stopIfTrue="1">
      <formula>NOT(ISERROR(SEARCH("女",$B21)))</formula>
    </cfRule>
    <cfRule type="expression" dxfId="95" priority="58" stopIfTrue="1">
      <formula>NOT(ISERROR(SEARCH("男",$B21)))</formula>
    </cfRule>
  </conditionalFormatting>
  <conditionalFormatting sqref="D22:I22">
    <cfRule type="expression" dxfId="94" priority="54" stopIfTrue="1">
      <formula>NOT(ISERROR(SEARCH("男",$B21)))</formula>
    </cfRule>
    <cfRule type="expression" dxfId="93" priority="55" stopIfTrue="1">
      <formula>NOT(ISERROR(SEARCH("女",$B21)))</formula>
    </cfRule>
  </conditionalFormatting>
  <conditionalFormatting sqref="D25:I25">
    <cfRule type="expression" dxfId="92" priority="33" stopIfTrue="1">
      <formula>NOT(ISERROR(SEARCH("女",$B26)))</formula>
    </cfRule>
    <cfRule type="expression" dxfId="91" priority="32" stopIfTrue="1">
      <formula>NOT(ISERROR(SEARCH("男",$B26)))</formula>
    </cfRule>
  </conditionalFormatting>
  <conditionalFormatting sqref="D27:I27">
    <cfRule type="expression" dxfId="90" priority="29" stopIfTrue="1">
      <formula>NOT(ISERROR(SEARCH("女",$B26)))</formula>
    </cfRule>
    <cfRule type="expression" dxfId="89" priority="28" stopIfTrue="1">
      <formula>NOT(ISERROR(SEARCH("男",$B26)))</formula>
    </cfRule>
  </conditionalFormatting>
  <conditionalFormatting sqref="E11">
    <cfRule type="expression" dxfId="88" priority="250" stopIfTrue="1">
      <formula>AND(E11="",E10&gt;0)</formula>
    </cfRule>
  </conditionalFormatting>
  <conditionalFormatting sqref="E13">
    <cfRule type="expression" dxfId="87" priority="245" stopIfTrue="1">
      <formula>AND(E12&gt;0,E13="")</formula>
    </cfRule>
  </conditionalFormatting>
  <conditionalFormatting sqref="E16">
    <cfRule type="expression" dxfId="86" priority="77" stopIfTrue="1">
      <formula>AND(E16="",E15&gt;0)</formula>
    </cfRule>
  </conditionalFormatting>
  <conditionalFormatting sqref="E18">
    <cfRule type="expression" dxfId="85" priority="74" stopIfTrue="1">
      <formula>AND(E17&gt;0,E18="")</formula>
    </cfRule>
  </conditionalFormatting>
  <conditionalFormatting sqref="E21">
    <cfRule type="expression" dxfId="84" priority="51" stopIfTrue="1">
      <formula>AND(E21="",E20&gt;0)</formula>
    </cfRule>
  </conditionalFormatting>
  <conditionalFormatting sqref="E23">
    <cfRule type="expression" dxfId="83" priority="48" stopIfTrue="1">
      <formula>AND(E22&gt;0,E23="")</formula>
    </cfRule>
  </conditionalFormatting>
  <conditionalFormatting sqref="E26">
    <cfRule type="expression" dxfId="82" priority="25" stopIfTrue="1">
      <formula>AND(E26="",E25&gt;0)</formula>
    </cfRule>
  </conditionalFormatting>
  <conditionalFormatting sqref="E28">
    <cfRule type="expression" dxfId="81" priority="22" stopIfTrue="1">
      <formula>AND(E27&gt;0,E28="")</formula>
    </cfRule>
  </conditionalFormatting>
  <conditionalFormatting sqref="G11">
    <cfRule type="expression" dxfId="80" priority="249" stopIfTrue="1">
      <formula>AND(G10&gt;0,G11="")</formula>
    </cfRule>
  </conditionalFormatting>
  <conditionalFormatting sqref="G13">
    <cfRule type="expression" dxfId="79" priority="244" stopIfTrue="1">
      <formula>AND(G12&gt;0,G13="")</formula>
    </cfRule>
  </conditionalFormatting>
  <conditionalFormatting sqref="G16">
    <cfRule type="expression" dxfId="78" priority="76" stopIfTrue="1">
      <formula>AND(G15&gt;0,G16="")</formula>
    </cfRule>
  </conditionalFormatting>
  <conditionalFormatting sqref="G18">
    <cfRule type="expression" dxfId="77" priority="73" stopIfTrue="1">
      <formula>AND(G17&gt;0,G18="")</formula>
    </cfRule>
  </conditionalFormatting>
  <conditionalFormatting sqref="G21">
    <cfRule type="expression" dxfId="76" priority="50" stopIfTrue="1">
      <formula>AND(G20&gt;0,G21="")</formula>
    </cfRule>
  </conditionalFormatting>
  <conditionalFormatting sqref="G23">
    <cfRule type="expression" dxfId="75" priority="47" stopIfTrue="1">
      <formula>AND(G22&gt;0,G23="")</formula>
    </cfRule>
  </conditionalFormatting>
  <conditionalFormatting sqref="G26">
    <cfRule type="expression" dxfId="74" priority="24" stopIfTrue="1">
      <formula>AND(G25&gt;0,G26="")</formula>
    </cfRule>
  </conditionalFormatting>
  <conditionalFormatting sqref="G28">
    <cfRule type="expression" dxfId="73" priority="21" stopIfTrue="1">
      <formula>AND(G27&gt;0,G28="")</formula>
    </cfRule>
  </conditionalFormatting>
  <conditionalFormatting sqref="I11">
    <cfRule type="expression" dxfId="72" priority="248" stopIfTrue="1">
      <formula>AND(I10&gt;0,I11="")</formula>
    </cfRule>
  </conditionalFormatting>
  <conditionalFormatting sqref="I13">
    <cfRule type="expression" dxfId="71" priority="243" stopIfTrue="1">
      <formula>AND(I12&gt;0,I13="")</formula>
    </cfRule>
  </conditionalFormatting>
  <conditionalFormatting sqref="I16">
    <cfRule type="expression" dxfId="70" priority="75" stopIfTrue="1">
      <formula>AND(I15&gt;0,I16="")</formula>
    </cfRule>
  </conditionalFormatting>
  <conditionalFormatting sqref="I18">
    <cfRule type="expression" dxfId="69" priority="72" stopIfTrue="1">
      <formula>AND(I17&gt;0,I18="")</formula>
    </cfRule>
  </conditionalFormatting>
  <conditionalFormatting sqref="I21">
    <cfRule type="expression" dxfId="68" priority="49" stopIfTrue="1">
      <formula>AND(I20&gt;0,I21="")</formula>
    </cfRule>
  </conditionalFormatting>
  <conditionalFormatting sqref="I23">
    <cfRule type="expression" dxfId="67" priority="46" stopIfTrue="1">
      <formula>AND(I22&gt;0,I23="")</formula>
    </cfRule>
  </conditionalFormatting>
  <conditionalFormatting sqref="I26">
    <cfRule type="expression" dxfId="66" priority="23" stopIfTrue="1">
      <formula>AND(I25&gt;0,I26="")</formula>
    </cfRule>
  </conditionalFormatting>
  <conditionalFormatting sqref="I28">
    <cfRule type="expression" dxfId="65" priority="20" stopIfTrue="1">
      <formula>AND(I27&gt;0,I28="")</formula>
    </cfRule>
  </conditionalFormatting>
  <conditionalFormatting sqref="K10">
    <cfRule type="cellIs" dxfId="64" priority="131" stopIfTrue="1" operator="notEqual">
      <formula>1</formula>
    </cfRule>
  </conditionalFormatting>
  <conditionalFormatting sqref="K12">
    <cfRule type="cellIs" dxfId="63" priority="127" stopIfTrue="1" operator="notEqual">
      <formula>1</formula>
    </cfRule>
  </conditionalFormatting>
  <conditionalFormatting sqref="K15">
    <cfRule type="cellIs" dxfId="62" priority="123" stopIfTrue="1" operator="notEqual">
      <formula>1</formula>
    </cfRule>
  </conditionalFormatting>
  <conditionalFormatting sqref="K17">
    <cfRule type="cellIs" dxfId="61" priority="119" stopIfTrue="1" operator="notEqual">
      <formula>1</formula>
    </cfRule>
  </conditionalFormatting>
  <conditionalFormatting sqref="K18">
    <cfRule type="cellIs" dxfId="60" priority="100" stopIfTrue="1" operator="equal">
      <formula>"ﾅﾝﾊﾞｰｶｰﾄﾞ確認下さい"</formula>
    </cfRule>
  </conditionalFormatting>
  <conditionalFormatting sqref="K20">
    <cfRule type="cellIs" dxfId="59" priority="115" stopIfTrue="1" operator="notEqual">
      <formula>1</formula>
    </cfRule>
  </conditionalFormatting>
  <conditionalFormatting sqref="K22">
    <cfRule type="cellIs" dxfId="58" priority="111" stopIfTrue="1" operator="notEqual">
      <formula>1</formula>
    </cfRule>
  </conditionalFormatting>
  <conditionalFormatting sqref="K23">
    <cfRule type="cellIs" dxfId="57" priority="99" stopIfTrue="1" operator="equal">
      <formula>"ﾅﾝﾊﾞｰｶｰﾄﾞ確認下さい"</formula>
    </cfRule>
  </conditionalFormatting>
  <conditionalFormatting sqref="K25">
    <cfRule type="cellIs" dxfId="56" priority="107" stopIfTrue="1" operator="notEqual">
      <formula>1</formula>
    </cfRule>
  </conditionalFormatting>
  <conditionalFormatting sqref="K27">
    <cfRule type="cellIs" dxfId="55" priority="103" stopIfTrue="1" operator="notEqual">
      <formula>1</formula>
    </cfRule>
  </conditionalFormatting>
  <conditionalFormatting sqref="K28">
    <cfRule type="cellIs" dxfId="54" priority="98" stopIfTrue="1" operator="equal">
      <formula>"ﾅﾝﾊﾞｰｶｰﾄﾞ確認下さい"</formula>
    </cfRule>
  </conditionalFormatting>
  <conditionalFormatting sqref="K11:O11">
    <cfRule type="cellIs" dxfId="53" priority="132" stopIfTrue="1" operator="equal">
      <formula>"ﾅﾝﾊﾞｰｶｰﾄﾞ確認下さい"</formula>
    </cfRule>
  </conditionalFormatting>
  <conditionalFormatting sqref="K13:O13">
    <cfRule type="cellIs" dxfId="52" priority="130" stopIfTrue="1" operator="equal">
      <formula>"ﾅﾝﾊﾞｰｶｰﾄﾞ確認下さい"</formula>
    </cfRule>
  </conditionalFormatting>
  <conditionalFormatting sqref="K16:O16">
    <cfRule type="cellIs" dxfId="51" priority="124" stopIfTrue="1" operator="equal">
      <formula>"ﾅﾝﾊﾞｰｶｰﾄﾞ確認下さい"</formula>
    </cfRule>
  </conditionalFormatting>
  <conditionalFormatting sqref="K21:O21">
    <cfRule type="cellIs" dxfId="50" priority="116" stopIfTrue="1" operator="equal">
      <formula>"ﾅﾝﾊﾞｰｶｰﾄﾞ確認下さい"</formula>
    </cfRule>
  </conditionalFormatting>
  <conditionalFormatting sqref="K26:O26">
    <cfRule type="cellIs" dxfId="49" priority="108" stopIfTrue="1" operator="equal">
      <formula>"ﾅﾝﾊﾞｰｶｰﾄﾞ確認下さい"</formula>
    </cfRule>
  </conditionalFormatting>
  <conditionalFormatting sqref="M10">
    <cfRule type="cellIs" dxfId="48" priority="129" stopIfTrue="1" operator="notEqual">
      <formula>1</formula>
    </cfRule>
  </conditionalFormatting>
  <conditionalFormatting sqref="M12">
    <cfRule type="cellIs" dxfId="47" priority="126" stopIfTrue="1" operator="notEqual">
      <formula>1</formula>
    </cfRule>
  </conditionalFormatting>
  <conditionalFormatting sqref="M15">
    <cfRule type="cellIs" dxfId="46" priority="121" stopIfTrue="1" operator="notEqual">
      <formula>1</formula>
    </cfRule>
  </conditionalFormatting>
  <conditionalFormatting sqref="M17">
    <cfRule type="cellIs" dxfId="45" priority="118" stopIfTrue="1" operator="notEqual">
      <formula>1</formula>
    </cfRule>
  </conditionalFormatting>
  <conditionalFormatting sqref="M20">
    <cfRule type="cellIs" dxfId="44" priority="113" stopIfTrue="1" operator="notEqual">
      <formula>1</formula>
    </cfRule>
  </conditionalFormatting>
  <conditionalFormatting sqref="M22">
    <cfRule type="cellIs" dxfId="43" priority="110" stopIfTrue="1" operator="notEqual">
      <formula>1</formula>
    </cfRule>
  </conditionalFormatting>
  <conditionalFormatting sqref="M25">
    <cfRule type="cellIs" dxfId="42" priority="105" stopIfTrue="1" operator="notEqual">
      <formula>1</formula>
    </cfRule>
  </conditionalFormatting>
  <conditionalFormatting sqref="M27">
    <cfRule type="cellIs" dxfId="41" priority="102" stopIfTrue="1" operator="notEqual">
      <formula>1</formula>
    </cfRule>
  </conditionalFormatting>
  <conditionalFormatting sqref="O10">
    <cfRule type="cellIs" dxfId="40" priority="128" stopIfTrue="1" operator="notEqual">
      <formula>1</formula>
    </cfRule>
  </conditionalFormatting>
  <conditionalFormatting sqref="O12">
    <cfRule type="cellIs" dxfId="39" priority="125" stopIfTrue="1" operator="notEqual">
      <formula>1</formula>
    </cfRule>
  </conditionalFormatting>
  <conditionalFormatting sqref="O15">
    <cfRule type="cellIs" dxfId="38" priority="120" stopIfTrue="1" operator="notEqual">
      <formula>1</formula>
    </cfRule>
  </conditionalFormatting>
  <conditionalFormatting sqref="O17">
    <cfRule type="cellIs" dxfId="37" priority="117" stopIfTrue="1" operator="notEqual">
      <formula>1</formula>
    </cfRule>
  </conditionalFormatting>
  <conditionalFormatting sqref="O20">
    <cfRule type="cellIs" dxfId="36" priority="112" stopIfTrue="1" operator="notEqual">
      <formula>1</formula>
    </cfRule>
  </conditionalFormatting>
  <conditionalFormatting sqref="O22">
    <cfRule type="cellIs" dxfId="35" priority="109" stopIfTrue="1" operator="notEqual">
      <formula>1</formula>
    </cfRule>
  </conditionalFormatting>
  <conditionalFormatting sqref="O25">
    <cfRule type="cellIs" dxfId="34" priority="104" stopIfTrue="1" operator="notEqual">
      <formula>1</formula>
    </cfRule>
  </conditionalFormatting>
  <conditionalFormatting sqref="O27">
    <cfRule type="cellIs" dxfId="33" priority="101" stopIfTrue="1" operator="notEqual">
      <formula>1</formula>
    </cfRule>
  </conditionalFormatting>
  <dataValidations count="8">
    <dataValidation imeMode="halfKatakana" showInputMessage="1" showErrorMessage="1" sqref="E11 E68 G68 G66 I66 E66 G63 E63 G61 I61 E61 G58 E58 G56 I56 E56 E53 G53 G51 I51 E51 E16 I16 G18 E18 G16 E21 I21 G23 E23 G21 E33 G31 I31 E31 I11 G48 E48 G46 I46 E46 G43 E43 G41 I41 E41 G38 E38 G36 I36 E36 G13 E13 G11 G33 E26 I26 G28 E28 G26" xr:uid="{00000000-0002-0000-0200-000000000000}"/>
    <dataValidation type="whole" allowBlank="1" showInputMessage="1" showErrorMessage="1" sqref="C13 C68 C63 C58 C53 C23 C18 C33 C48 C43 C38 C28" xr:uid="{00000000-0002-0000-0200-000001000000}">
      <formula1>1111</formula1>
      <formula2>999999</formula2>
    </dataValidation>
    <dataValidation type="list" allowBlank="1" showInputMessage="1" showErrorMessage="1" sqref="B31 B66 B61 B56 B51 B46 B41 B36" xr:uid="{00000000-0002-0000-0200-000002000000}">
      <formula1>リレークラス</formula1>
    </dataValidation>
    <dataValidation imeMode="hiragana" allowBlank="1" showInputMessage="1" showErrorMessage="1" sqref="E10 G10 I10 E12 G12 I12 E15 G15 I15 E17 G17 I17 E20 G20 I20 E22 G22 I22 E25 G25 I25 E27 G27 I27" xr:uid="{00000000-0002-0000-0200-000003000000}"/>
    <dataValidation type="list" allowBlank="1" showInputMessage="1" showErrorMessage="1" sqref="C31 C66 C61 C56 C51 C46 C41 C36" xr:uid="{00000000-0002-0000-0200-000004000000}">
      <formula1>$R$11:$S$11</formula1>
    </dataValidation>
    <dataValidation type="list" allowBlank="1" showInputMessage="1" showErrorMessage="1" sqref="B68 B53 B38 B43 B48 B63 B58 B33" xr:uid="{00000000-0002-0000-0200-000005000000}">
      <formula1>$S$8:$T$8</formula1>
    </dataValidation>
    <dataValidation type="list" allowBlank="1" showInputMessage="1" showErrorMessage="1" sqref="D11 H68 D68 F68 H66 F66 D66 D58 F58 H53 H56 F56 D56 D63 F63 H58 H61 F61 D61 H48 D53 F53 H51 F51 D51 D43 F43 H38 H41 F41 D41 D38 F38 H33 H36 F36 D36 D33 F33 D21 H31 F31 D31 D23 F18 D16 H18 H16 F16 D18 F23 D46 H23 H21 F21 D13 F13 H63 H13 H11 F11 D48 F48 H43 H46 F46 D26 D28 F28 H28 H26 F26" xr:uid="{00000000-0002-0000-0200-000006000000}">
      <formula1>$S$7:$AA$7</formula1>
    </dataValidation>
    <dataValidation type="list" allowBlank="1" showInputMessage="1" showErrorMessage="1" sqref="B11 B16 B21 B26" xr:uid="{00000000-0002-0000-0200-000007000000}">
      <formula1>IF($R$5=0,$R$6,IF($R$5="一般",$S$6:$T$6,IF($R$5="高校",$S$6:$T$6,IF($R$5="中学",$U$6:$V$6,IF($R$5="小学",$W$6:$X$6,"")))))</formula1>
    </dataValidation>
  </dataValidations>
  <pageMargins left="0.25" right="0.25"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注意事項</vt:lpstr>
      <vt:lpstr>個人種目申込一覧表</vt:lpstr>
      <vt:lpstr>リレー申込票</vt:lpstr>
      <vt:lpstr>リレー申込票!Print_Area</vt:lpstr>
      <vt:lpstr>個人種目申込一覧表!Print_Area</vt:lpstr>
      <vt:lpstr>リレークラス</vt:lpstr>
      <vt:lpstr>高校女子</vt:lpstr>
      <vt:lpstr>高校男子</vt:lpstr>
      <vt:lpstr>女子</vt:lpstr>
      <vt:lpstr>小女4_6年</vt:lpstr>
      <vt:lpstr>小男4_6年</vt:lpstr>
      <vt:lpstr>性</vt:lpstr>
      <vt:lpstr>男子</vt:lpstr>
      <vt:lpstr>中学女子</vt:lpstr>
      <vt:lpstr>中学男子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志儀 智史</dc:creator>
  <cp:lastModifiedBy>忠明 上野</cp:lastModifiedBy>
  <cp:lastPrinted>2015-12-05T07:17:26Z</cp:lastPrinted>
  <dcterms:created xsi:type="dcterms:W3CDTF">2009-03-04T01:02:54Z</dcterms:created>
  <dcterms:modified xsi:type="dcterms:W3CDTF">2026-03-23T11:43:56Z</dcterms:modified>
</cp:coreProperties>
</file>